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195" windowHeight="4965" tabRatio="790" activeTab="5"/>
  </bookViews>
  <sheets>
    <sheet name="A 10" sheetId="1" r:id="rId1"/>
    <sheet name="A20" sheetId="2" r:id="rId2"/>
    <sheet name="1-Bilan et état de  résultat" sheetId="3" r:id="rId3"/>
    <sheet name="Var des charges et des revenus" sheetId="4" r:id="rId4"/>
    <sheet name="7- Vari des cptes de gestion" sheetId="5" r:id="rId5"/>
    <sheet name="strcture du résultat" sheetId="6" r:id="rId6"/>
    <sheet name="2-Autres données" sheetId="7" r:id="rId7"/>
    <sheet name="3-bilan de synthèse" sheetId="8" r:id="rId8"/>
    <sheet name="4-Ratios de structure" sheetId="9" r:id="rId9"/>
    <sheet name="5-Ratios de gestion" sheetId="10" r:id="rId10"/>
    <sheet name="6-Ratios de rentabilité" sheetId="11" r:id="rId11"/>
    <sheet name="Informations" sheetId="12" r:id="rId12"/>
  </sheets>
  <externalReferences>
    <externalReference r:id="rId15"/>
  </externalReferences>
  <definedNames>
    <definedName name="C233333">#REF!</definedName>
    <definedName name="_xlnm.Print_Area" localSheetId="2">'1-Bilan et état de  résultat'!$A$1:$E$154</definedName>
    <definedName name="_xlnm.Print_Area" localSheetId="6">'2-Autres données'!$A$1:$D$18</definedName>
    <definedName name="_xlnm.Print_Area" localSheetId="7">'3-bilan de synthèse'!$B$6:$G$90</definedName>
    <definedName name="_xlnm.Print_Area" localSheetId="8">'4-Ratios de structure'!$B$6:$E$61</definedName>
    <definedName name="_xlnm.Print_Area" localSheetId="0">'A 10'!$A$1:$E$107</definedName>
    <definedName name="_xlnm.Print_Area" localSheetId="1">'A20'!$A$1:$E$58</definedName>
    <definedName name="_xlnm.Print_Area" localSheetId="11">'Informations'!$C$1:$D$23</definedName>
  </definedNames>
  <calcPr fullCalcOnLoad="1"/>
</workbook>
</file>

<file path=xl/comments10.xml><?xml version="1.0" encoding="utf-8"?>
<comments xmlns="http://schemas.openxmlformats.org/spreadsheetml/2006/main">
  <authors>
    <author>INTERNET</author>
  </authors>
  <commentList>
    <comment ref="B13" authorId="0">
      <text>
        <r>
          <rPr>
            <sz val="8"/>
            <rFont val="Tahoma"/>
            <family val="0"/>
          </rPr>
          <t xml:space="preserve">
Ce ratio nous donne le nombre de renouvellement des créances commerciales durant une année</t>
        </r>
      </text>
    </comment>
    <comment ref="B17" authorId="0">
      <text>
        <r>
          <rPr>
            <sz val="8"/>
            <rFont val="Tahoma"/>
            <family val="0"/>
          </rPr>
          <t xml:space="preserve">
Exprimé en nombre de jour, ce ratio donne une moyenne d'échéances accordées aux clients pour régler leurs achats, Ce délai nous donne une idée sur la politique de crédit d'une entreprise et sur ses contraintes commerciales :Plus ce délai est long, plus la politique de crédit est souple ou plus l'entreprise est contrainte d'accorder des délais longs pour pouvoir vendre dans un secteur où la concurrence est vive,</t>
        </r>
      </text>
    </comment>
    <comment ref="B22" authorId="0">
      <text>
        <r>
          <rPr>
            <sz val="8"/>
            <rFont val="Tahoma"/>
            <family val="0"/>
          </rPr>
          <t xml:space="preserve">
La rotation globale permet de mesurer l'efficacité quant à l'utulisation des actifs.Une rotation rapide signifie que l'entreprise est performante et pourrait être à l'origine d'un accroissement de rentabilité.</t>
        </r>
      </text>
    </comment>
  </commentList>
</comments>
</file>

<file path=xl/comments12.xml><?xml version="1.0" encoding="utf-8"?>
<comments xmlns="http://schemas.openxmlformats.org/spreadsheetml/2006/main">
  <authors>
    <author>LAMIA </author>
  </authors>
  <commentList>
    <comment ref="C2" authorId="0">
      <text>
        <r>
          <rPr>
            <b/>
            <sz val="10"/>
            <color indexed="61"/>
            <rFont val="Tahoma"/>
            <family val="2"/>
          </rPr>
          <t>Hammadi derbel
BDO AFRIC AUDIT</t>
        </r>
        <r>
          <rPr>
            <sz val="10"/>
            <rFont val="Tahoma"/>
            <family val="0"/>
          </rPr>
          <t xml:space="preserve">
</t>
        </r>
      </text>
    </comment>
  </commentList>
</comments>
</file>

<file path=xl/comments9.xml><?xml version="1.0" encoding="utf-8"?>
<comments xmlns="http://schemas.openxmlformats.org/spreadsheetml/2006/main">
  <authors>
    <author>INTERNET</author>
  </authors>
  <commentList>
    <comment ref="B11" authorId="0">
      <text>
        <r>
          <rPr>
            <sz val="8"/>
            <rFont val="Tahoma"/>
            <family val="0"/>
          </rPr>
          <t xml:space="preserve">
Ce ratio donne le poids des immobilisations dans l'actif et renseigne sur les contraintes techniques induites par l'activité de l'entreprise .</t>
        </r>
      </text>
    </comment>
    <comment ref="B17" authorId="0">
      <text>
        <r>
          <rPr>
            <sz val="8"/>
            <rFont val="Tahoma"/>
            <family val="0"/>
          </rPr>
          <t xml:space="preserve">
Le poids de l'investissement en valeurs réalisables d'exploitation indique sur les politiques de crédits et sur les contraintes commerciales</t>
        </r>
      </text>
    </comment>
    <comment ref="B25" authorId="0">
      <text>
        <r>
          <rPr>
            <sz val="8"/>
            <rFont val="Tahoma"/>
            <family val="0"/>
          </rPr>
          <t xml:space="preserve">
Ce ratio donne une première idée sur la structure financière à travers le taux d'endettement qui généralement doit être inférieur à 1.</t>
        </r>
      </text>
    </comment>
    <comment ref="B28" authorId="0">
      <text>
        <r>
          <rPr>
            <sz val="8"/>
            <rFont val="Tahoma"/>
            <family val="0"/>
          </rPr>
          <t xml:space="preserve">
Cet indicateur sur la solvabilité globale de l'entreprise renseigne sur sa capacité à rembourser ses dettes,S'il est supérieur à 1, l'entreprise est solvable,A la limite, il doit être égale 1,Un ratio de solvabilité faible signifie que le risque financier est grand.</t>
        </r>
      </text>
    </comment>
    <comment ref="B31" authorId="0">
      <text>
        <r>
          <rPr>
            <sz val="8"/>
            <rFont val="Tahoma"/>
            <family val="2"/>
          </rPr>
          <t>Ce rapport mesure le degré de dépendance de l'entreprise des bailleurs de fonds,Plus il est élevé, plus l'entreprise est financièrement indépendante, et vis-versa,</t>
        </r>
      </text>
    </comment>
    <comment ref="B37" authorId="0">
      <text>
        <r>
          <rPr>
            <sz val="8"/>
            <rFont val="Tahoma"/>
            <family val="0"/>
          </rPr>
          <t xml:space="preserve">
Partant de la règle générale d'équilibre, ce ratio doit être supérieur à l'unité, c'est à dire que le fond de roulement doit être positif,Il renseigne sur le mode de financement des emploi longs et par la même sur le degré de stabilité des fonds affectés aux actifs durables.</t>
        </r>
      </text>
    </comment>
    <comment ref="B41" authorId="0">
      <text>
        <r>
          <rPr>
            <sz val="8"/>
            <rFont val="Tahoma"/>
            <family val="0"/>
          </rPr>
          <t xml:space="preserve">
Ce ratio permet d'éudier l'équilibre financier d'une entreprise à travers la mesure de sa capacité de rembourser ses dettes à CT en comptant sur son actif circulant,Ce ratio doit être supérieur à l'unité.</t>
        </r>
      </text>
    </comment>
    <comment ref="B45" authorId="0">
      <text>
        <r>
          <rPr>
            <sz val="8"/>
            <rFont val="Tahoma"/>
            <family val="0"/>
          </rPr>
          <t xml:space="preserve">
Ce ratio mesure la solvabilité de l'entreprise en mesurant sa capacité à rembourser ses dettes à CT sans recourire à la liquidation hâtive de ses stocks.</t>
        </r>
      </text>
    </comment>
    <comment ref="B49" authorId="0">
      <text>
        <r>
          <rPr>
            <sz val="8"/>
            <rFont val="Tahoma"/>
            <family val="0"/>
          </rPr>
          <t xml:space="preserve">
Ce rapport donne le taux de couverture des dettes à CT par les disponibilités,Dans le cas où ces dettes sont importantes , le ratio doit être inférieur à 1,L'inverse pourrait constituer un signe d'immobilisation ou de stérilisation de fonds voir même d'une mauvaise utilisation des dettes.</t>
        </r>
      </text>
    </comment>
  </commentList>
</comments>
</file>

<file path=xl/sharedStrings.xml><?xml version="1.0" encoding="utf-8"?>
<sst xmlns="http://schemas.openxmlformats.org/spreadsheetml/2006/main" count="347" uniqueCount="258">
  <si>
    <t xml:space="preserve"> </t>
  </si>
  <si>
    <t>B I L A N</t>
  </si>
  <si>
    <t>(Exprimé en Dinars)</t>
  </si>
  <si>
    <t>A C T I F S</t>
  </si>
  <si>
    <t>Immobilisations corporelles</t>
  </si>
  <si>
    <t>Immobilisations financières</t>
  </si>
  <si>
    <t>Autres Actifs courants</t>
  </si>
  <si>
    <t>Liquidités et équivalent de liquidités</t>
  </si>
  <si>
    <t>Capital social</t>
  </si>
  <si>
    <t>Fournisseurs et comptes rattaches</t>
  </si>
  <si>
    <t>Autres passifs courants</t>
  </si>
  <si>
    <t>ETAT DE RESULTAT</t>
  </si>
  <si>
    <t>PRODUITS D'EXPLOITATION</t>
  </si>
  <si>
    <t xml:space="preserve">Revenus </t>
  </si>
  <si>
    <t>CHARGES D'EXPLOITATION</t>
  </si>
  <si>
    <t>*   Autres charges d'exploitations</t>
  </si>
  <si>
    <t>*   Charges de personnels</t>
  </si>
  <si>
    <t>RESULTAT D'EXPLOITATION</t>
  </si>
  <si>
    <t>Clients et comptes rattachés</t>
  </si>
  <si>
    <t>Charges financieres nettes</t>
  </si>
  <si>
    <t>Autres Gains ordinaires</t>
  </si>
  <si>
    <t>Impôt sur les bénéfices</t>
  </si>
  <si>
    <t>Résultat net de l'exercice</t>
  </si>
  <si>
    <t>Notes</t>
  </si>
  <si>
    <t>Résultat de l'exercice</t>
  </si>
  <si>
    <t>Emprunts</t>
  </si>
  <si>
    <t>Provisions pour risques et charges</t>
  </si>
  <si>
    <t>Concours bancaires et autres passifs financiers</t>
  </si>
  <si>
    <t>Immobilisations incorporelles</t>
  </si>
  <si>
    <t>Autres actifs non courants</t>
  </si>
  <si>
    <t>Provisions</t>
  </si>
  <si>
    <t>NOTES</t>
  </si>
  <si>
    <t>*   Achats d'approvis consommés</t>
  </si>
  <si>
    <t>*   Dotation aux amortissements et prov</t>
  </si>
  <si>
    <t xml:space="preserve">    PASSIFS NON COURANTS</t>
  </si>
  <si>
    <t xml:space="preserve">    PASSIFS COURANTS</t>
  </si>
  <si>
    <t>CAPITAUX PROPRES ET PASSIFS</t>
  </si>
  <si>
    <t>Stocks</t>
  </si>
  <si>
    <t>Total des Capitaux propres avant résultat de l'exercice</t>
  </si>
  <si>
    <t>Total des capitaux propres avant affectation</t>
  </si>
  <si>
    <r>
      <t xml:space="preserve">    </t>
    </r>
    <r>
      <rPr>
        <u val="single"/>
        <sz val="12"/>
        <rFont val="Arial Narrow"/>
        <family val="2"/>
      </rPr>
      <t>CAPITAUX  PROPRES</t>
    </r>
  </si>
  <si>
    <r>
      <t xml:space="preserve">    </t>
    </r>
    <r>
      <rPr>
        <i/>
        <u val="single"/>
        <sz val="12"/>
        <rFont val="Arial Narrow"/>
        <family val="2"/>
      </rPr>
      <t>PASSIFS</t>
    </r>
  </si>
  <si>
    <t>Total des passifs non courants</t>
  </si>
  <si>
    <t>Total des passifs courants</t>
  </si>
  <si>
    <t>Total des capitaux propres et des passifs</t>
  </si>
  <si>
    <t xml:space="preserve">    ACTIFS  NON  COURANTS</t>
  </si>
  <si>
    <t>Moins : Amortissement</t>
  </si>
  <si>
    <t>Actifs  immobilisés</t>
  </si>
  <si>
    <t>Total des actifs immobilisés</t>
  </si>
  <si>
    <t xml:space="preserve">Total des actifs non courants </t>
  </si>
  <si>
    <r>
      <t xml:space="preserve">    </t>
    </r>
    <r>
      <rPr>
        <b/>
        <u val="single"/>
        <sz val="12"/>
        <rFont val="Arial Narrow"/>
        <family val="2"/>
      </rPr>
      <t>ACTIFS COURANTS</t>
    </r>
  </si>
  <si>
    <t xml:space="preserve">Total des actifs courants </t>
  </si>
  <si>
    <t xml:space="preserve">Total des actifs </t>
  </si>
  <si>
    <t>Total des produits d'exploitation</t>
  </si>
  <si>
    <t>Total des charges d'exploitation</t>
  </si>
  <si>
    <t>Résultat des activités ordinaires avant impôt</t>
  </si>
  <si>
    <t>Résultat des activités ordinaires après impôt</t>
  </si>
  <si>
    <t>Bilan de synthèse</t>
  </si>
  <si>
    <t>valeurs immobilisées nettes</t>
  </si>
  <si>
    <t>valeurs d'exploitation</t>
  </si>
  <si>
    <t>valeurs disponibles</t>
  </si>
  <si>
    <t>Dettes à court terme</t>
  </si>
  <si>
    <t>Dettes à court terme d'exploitation</t>
  </si>
  <si>
    <t>Dettes à court terme hors exploitation</t>
  </si>
  <si>
    <t>Dettes à court terme bancaires</t>
  </si>
  <si>
    <t xml:space="preserve">valeurs réalisables d'exploitation </t>
  </si>
  <si>
    <t xml:space="preserve">valeurs réalisables hors exploitation </t>
  </si>
  <si>
    <t>Total capitaux propres et passifs</t>
  </si>
  <si>
    <t>Total bilan-total bilan de synthèse</t>
  </si>
  <si>
    <t>Ratios de structure</t>
  </si>
  <si>
    <t>Ratio d'immobilisation</t>
  </si>
  <si>
    <t xml:space="preserve">Valeurs immobilisées nettes </t>
  </si>
  <si>
    <t>Actif réel total</t>
  </si>
  <si>
    <t xml:space="preserve">Ratio d'âge des immobilisations </t>
  </si>
  <si>
    <t>Amortissement cumulé</t>
  </si>
  <si>
    <t>Immobilisations brutes</t>
  </si>
  <si>
    <t>Structure de l'actif</t>
  </si>
  <si>
    <t>Structure du passif</t>
  </si>
  <si>
    <t>Ratio d'endettement</t>
  </si>
  <si>
    <t>Dettes totales</t>
  </si>
  <si>
    <t>situation nette réelle</t>
  </si>
  <si>
    <t>Ratio de solvabilité</t>
  </si>
  <si>
    <t>Ratio d'autonomie financière</t>
  </si>
  <si>
    <t>capitaux permanents</t>
  </si>
  <si>
    <t>Ratios de synthèse</t>
  </si>
  <si>
    <t>Ratio du fonds de roulement</t>
  </si>
  <si>
    <t>Ratio de liquidités générale</t>
  </si>
  <si>
    <t>V,d'exploitation+V,réalisables+V,disponibles</t>
  </si>
  <si>
    <t>Ratio de liquidités réduite</t>
  </si>
  <si>
    <t>V,réalisables+V,disponibles</t>
  </si>
  <si>
    <t>Ratio de liquidités immédiate</t>
  </si>
  <si>
    <t>V,disponibles</t>
  </si>
  <si>
    <t xml:space="preserve">Ratios de gestion </t>
  </si>
  <si>
    <t>jours</t>
  </si>
  <si>
    <t>fois/an</t>
  </si>
  <si>
    <t xml:space="preserve">Rotation des crédits clients </t>
  </si>
  <si>
    <t>clients +effets escomptés non échus</t>
  </si>
  <si>
    <t>Délai moyen de recouvrement</t>
  </si>
  <si>
    <t>Ratio de rotation des crédits clients</t>
  </si>
  <si>
    <t>Rotation des crédits fournisseurs</t>
  </si>
  <si>
    <t>fois/ an</t>
  </si>
  <si>
    <t>Rotation des actifs</t>
  </si>
  <si>
    <t>Chiffre d'affaires</t>
  </si>
  <si>
    <t>Désignation</t>
  </si>
  <si>
    <t xml:space="preserve">Rotation des immobilisations </t>
  </si>
  <si>
    <t>Ratios de rentabilité</t>
  </si>
  <si>
    <t>Taux de marge nette</t>
  </si>
  <si>
    <t>Bénéfice net</t>
  </si>
  <si>
    <t>Rentabilité de l'actif</t>
  </si>
  <si>
    <t>Rentabilité économique</t>
  </si>
  <si>
    <t>Rentabilité des fonds propres</t>
  </si>
  <si>
    <t>Capitaux propres</t>
  </si>
  <si>
    <t xml:space="preserve">Total actif réel </t>
  </si>
  <si>
    <t>Rotation des stocks de marchandises</t>
  </si>
  <si>
    <t>Actif</t>
  </si>
  <si>
    <t>Ratio des créances</t>
  </si>
  <si>
    <t>Créances commerciales</t>
  </si>
  <si>
    <t>Ratios</t>
  </si>
  <si>
    <t>commentaires</t>
  </si>
  <si>
    <t>Ratio des stocks</t>
  </si>
  <si>
    <t>Ce ratio donne le poids des immobilisations dans l'actif et renseigne sur les contraintes techniques induites par l'activité de l'entreprise ,</t>
  </si>
  <si>
    <t>En mesurant le poids des stocks dans l'actif, ce ratio nous renseigne à la fois sur les contraintes de production ou techniques et sur les contraintes commerciales auxquelles l'entreprise est soumise,Le poids des stocks varie selon la nature de l'activité,</t>
  </si>
  <si>
    <t xml:space="preserve">Ratio des créances </t>
  </si>
  <si>
    <t>Le poids de l'investissement en valeurs réalisables d'exploitation indique sur les politiques de crédits et sur les contraintes commerciales</t>
  </si>
  <si>
    <t>Ce ratio donne une première idée sur la structure financière à travers le taux d'endettement qui généralement doit être inférieur à 1,</t>
  </si>
  <si>
    <t xml:space="preserve">Ratio de solvabilité </t>
  </si>
  <si>
    <t>Cet indicateur sur la solvabilité globale de l'entreprise renseigne sur sa capacité à rembourser ses dettes,S'il est supérieur à 1, l'entreprise est solvable,A la limite, il doit être égale 1,Un ratio de solvabilité faible signifie que le risque financier est grand,</t>
  </si>
  <si>
    <t>Ratio de l'autonomie financière</t>
  </si>
  <si>
    <t>Ratio du fond de roulement</t>
  </si>
  <si>
    <t xml:space="preserve">Ratio de liquidité générale </t>
  </si>
  <si>
    <t>Ce ratio permet d'éudier l'équilibre financier d'une entreprise à travers la mesure de sa capacité de rembourser ses dettes à CT en comptant sur son actif circulant,Ce ratio doit être supérieur à l'unité,</t>
  </si>
  <si>
    <t>Ratio de liquidité réduite</t>
  </si>
  <si>
    <t>Ce ratio mesure la solvabilité de l'entreprise en mesurant sa capacité à rembourser ses dettes à CT sans recourire à la liquidation hâtive de ses stocks</t>
  </si>
  <si>
    <t>Ratio de liquidité immédiate</t>
  </si>
  <si>
    <t>Ce rapport donne le taux de couverture des dettes à CT par les disponibilités,Dans le cas où ces dettes sont importantes , le ratio doit être inférieur à 1,L'inverse pourrait constituer un signe d'immobilisation ou de stérilisation de fonds voir même d'une mauvaise utilisation des dettes,</t>
  </si>
  <si>
    <t>La rotation signifie la vitesse de renouvellement des stocks, D'une façon générale, plus la vitesse est rapide, plus l'entreprise est supposé être performante sur le plan commercial et opérationnelle,</t>
  </si>
  <si>
    <t>Rotation des crédits clients</t>
  </si>
  <si>
    <t>Exprimé en nombre de jour, ce ratio donne une moyenne d'échéances accordées aux clients pour régler leurs achats, Ce délai nous donne une idée sur la politique de crédit d'une entreprise et sur ses contraintes commerciales :Plus ce délai est long, plus la politique de crédit est souple ou plus l'entreprise est contrainte d'accorder des délais longs pour pouvoir vendre dans un secteur ou la concurrence est vive,</t>
  </si>
  <si>
    <t>Ce ratio nous donne le nombre de renouvellement des créances commerciales durant une année</t>
  </si>
  <si>
    <t>Partant de la règle générale d'équilibre, ce ratio doit être supérieur à l'unité, c'est à dire que le fond de roulement doit être positif,Il renseigne sur le mode de financement des emploi longs et par la même sur le degré de stabilité des fonds affectés aux actifs durables,</t>
  </si>
  <si>
    <t xml:space="preserve">ce ratio informe sur la vitesse de renouveler les dettes fournisseurs </t>
  </si>
  <si>
    <t>Délai  de règlement des crédits fournisseurs</t>
  </si>
  <si>
    <t>Ce ratio informe sur le délai que les fournisseurs accordent à la société pour régler ses achats</t>
  </si>
  <si>
    <t>Ratio de rotation des actifs</t>
  </si>
  <si>
    <t>La rotation globale permet de mesurer l'efficacité quant à l'utulisation des actifs.Une rotation rapide signifie que l'entreprise est performante et pourrait être à l'origine d'un accroissement de rentabilité,</t>
  </si>
  <si>
    <t>Ce rapport mesure le degré de dépendance de l'entreprise des bailleurs de fonds,Plus il est élevé, plus l'entreprise est financièrement indépendante, et vis-versa,</t>
  </si>
  <si>
    <t>Moins : Provision</t>
  </si>
  <si>
    <t>Moins : Provisions</t>
  </si>
  <si>
    <t>Réserves</t>
  </si>
  <si>
    <t>Placement et autres actifs financiers</t>
  </si>
  <si>
    <t>Autres capitaux propres</t>
  </si>
  <si>
    <t>Résultat reportés</t>
  </si>
  <si>
    <t>Produits des placements</t>
  </si>
  <si>
    <t>RBE</t>
  </si>
  <si>
    <t>Transfert de charges</t>
  </si>
  <si>
    <t>Eléments extraordinaires</t>
  </si>
  <si>
    <t>Effets des modifications comptables</t>
  </si>
  <si>
    <t>Résultat net de l'exercice après modifications comptables</t>
  </si>
  <si>
    <t>Fond de roulement</t>
  </si>
  <si>
    <t>BFR</t>
  </si>
  <si>
    <t xml:space="preserve">Trésorerie nette </t>
  </si>
  <si>
    <t>FR-BFR</t>
  </si>
  <si>
    <t xml:space="preserve">chiffre d'affaires à crédit </t>
  </si>
  <si>
    <t>Capitaux permanents - Actifs immobilisé</t>
  </si>
  <si>
    <t>Emplois cycliques - Ressources cycliques</t>
  </si>
  <si>
    <t>Structure</t>
  </si>
  <si>
    <t>Etat de résultat</t>
  </si>
  <si>
    <t>Libellé</t>
  </si>
  <si>
    <t>Autres pertes ordinaires</t>
  </si>
  <si>
    <t>*   Variation des stocks de produits finis</t>
  </si>
  <si>
    <t>Structure du résultat par rapport au CA</t>
  </si>
  <si>
    <t>Résultat d'exploitation + amortissements+provisions</t>
  </si>
  <si>
    <t>Situation nettes réelle</t>
  </si>
  <si>
    <t>Stock initial de marchandises</t>
  </si>
  <si>
    <t>case paramétrée</t>
  </si>
  <si>
    <t>Stock final de marchandises</t>
  </si>
  <si>
    <t>Total des achats de la période</t>
  </si>
  <si>
    <t>Achats à crédit</t>
  </si>
  <si>
    <t>Chiffre d'affaires à crédit</t>
  </si>
  <si>
    <t>Effets escomptés non échus</t>
  </si>
  <si>
    <t>Solde initial des dettes fournisseurs</t>
  </si>
  <si>
    <t>Solde initial des créances clients</t>
  </si>
  <si>
    <t>Bénéfices avant impôts et intérêts</t>
  </si>
  <si>
    <t>Autres produits d'exploitation</t>
  </si>
  <si>
    <t>Provisions &amp; Dettes à long terme</t>
  </si>
  <si>
    <t>Les évolutions des rubriques de l'actif du bilan pour la période allant de 2005 à 2006 sont présentées ci-dessous :</t>
  </si>
  <si>
    <t>Les évolutions des rubriques du passif du bilan pour la période allant de 2005 à 2006 sont présentées ci-dessous :</t>
  </si>
  <si>
    <t>SS</t>
  </si>
  <si>
    <t>ST</t>
  </si>
  <si>
    <t>ETATS FINANCIERS DE L'EXERCICE CLOS LE 31 DECEMBRE 2009</t>
  </si>
  <si>
    <t>BILAN</t>
  </si>
  <si>
    <t>ACTIFS</t>
  </si>
  <si>
    <t>Actifs immobilisés</t>
  </si>
  <si>
    <t>Total des actifs non courants</t>
  </si>
  <si>
    <t>Total des actifs courants</t>
  </si>
  <si>
    <t>Total des actifs</t>
  </si>
  <si>
    <t>Total des passifs</t>
  </si>
  <si>
    <t>Total des capitaux propres et passifs</t>
  </si>
  <si>
    <t>Impôt sur les sociétés</t>
  </si>
  <si>
    <t>V° 2009-2008</t>
  </si>
  <si>
    <t>Société MEDICALE GAZE S.A</t>
  </si>
  <si>
    <t>22, Rue du Cuir Z.I Sidi RéZig- 2033 Megrine</t>
  </si>
  <si>
    <t>(Exprimé en dinar)</t>
  </si>
  <si>
    <t>Au 31 Décembre</t>
  </si>
  <si>
    <t>Actifs non courants</t>
  </si>
  <si>
    <t>Immobilisations corporelles et incorporelles</t>
  </si>
  <si>
    <t>Moins : amortissements</t>
  </si>
  <si>
    <t>C</t>
  </si>
  <si>
    <t>D</t>
  </si>
  <si>
    <t>-</t>
  </si>
  <si>
    <t>Actifs courants</t>
  </si>
  <si>
    <t>H</t>
  </si>
  <si>
    <t>E</t>
  </si>
  <si>
    <t>Fournisseurs, avances et acomptes</t>
  </si>
  <si>
    <t>Autres actifs courants</t>
  </si>
  <si>
    <t>Placements et autres actifs financiers</t>
  </si>
  <si>
    <t>J</t>
  </si>
  <si>
    <t>Liquidités et équivalents de liquidités</t>
  </si>
  <si>
    <t>B</t>
  </si>
  <si>
    <t>Résultats reportés</t>
  </si>
  <si>
    <t>Modifications comptables affectant les résultats reportés</t>
  </si>
  <si>
    <t>Total capitaux propres avant résultat de l'exercice</t>
  </si>
  <si>
    <t>Compte spécial d'investissement</t>
  </si>
  <si>
    <t>Total capitaux propres avant affectation</t>
  </si>
  <si>
    <t>K</t>
  </si>
  <si>
    <t>Passifs</t>
  </si>
  <si>
    <t>Passifs non courants</t>
  </si>
  <si>
    <t>EMPRUNT LEASING</t>
  </si>
  <si>
    <t>Passifs courants</t>
  </si>
  <si>
    <t>Fournisseurs et comptes rattachés</t>
  </si>
  <si>
    <t>N</t>
  </si>
  <si>
    <t>P</t>
  </si>
  <si>
    <t>Q</t>
  </si>
  <si>
    <t>Produits d'exploitation</t>
  </si>
  <si>
    <t>Revenus</t>
  </si>
  <si>
    <t>Y 100</t>
  </si>
  <si>
    <t>Charges d'exploitation</t>
  </si>
  <si>
    <t>Variation des stocks de produits finis</t>
  </si>
  <si>
    <t>et produits en cours</t>
  </si>
  <si>
    <t>Achats consommés</t>
  </si>
  <si>
    <t>X 100</t>
  </si>
  <si>
    <t>Charges de personnel</t>
  </si>
  <si>
    <t>X 200</t>
  </si>
  <si>
    <t>Dotations aux amortissements et aux provisions</t>
  </si>
  <si>
    <t>X 300</t>
  </si>
  <si>
    <t>Autres charges d'exploitation</t>
  </si>
  <si>
    <t>X 400</t>
  </si>
  <si>
    <t>Résultat d'exploitation</t>
  </si>
  <si>
    <t>Charges et produits financiers</t>
  </si>
  <si>
    <t>X 500</t>
  </si>
  <si>
    <t>Y 300</t>
  </si>
  <si>
    <t>Autres gains ordinaires</t>
  </si>
  <si>
    <t>Y 400</t>
  </si>
  <si>
    <t xml:space="preserve">Autres pertes ordinaires </t>
  </si>
  <si>
    <t>X 600</t>
  </si>
  <si>
    <t>X 700</t>
  </si>
  <si>
    <t xml:space="preserve">Affectation à la réserve spéciale d'investissement </t>
  </si>
  <si>
    <t>Résultat net après modification comptable</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</si>
</sst>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_ ;_ * \-#,##0_ ;_ * &quot;-&quot;_ ;_ @_ "/>
    <numFmt numFmtId="165" formatCode="_ * #,##0.00_ ;_ * \-#,##0.00_ ;_ * &quot;-&quot;??_ ;_ @_ "/>
    <numFmt numFmtId="166" formatCode="_ &quot;?.?.&quot;\ * #,##0_ ;_ &quot;?.?.&quot;\ * \-#,##0_ ;_ &quot;?.?.&quot;\ * &quot;-&quot;_ ;_ @_ "/>
    <numFmt numFmtId="167" formatCode="_ &quot;?.?.&quot;\ * #,##0.00_ ;_ &quot;?.?.&quot;\ * \-#,##0.00_ ;_ &quot;?.?.&quot;\ * &quot;-&quot;??_ ;_ @_ "/>
    <numFmt numFmtId="168" formatCode="0.000"/>
    <numFmt numFmtId="169" formatCode="d/m/yy"/>
    <numFmt numFmtId="170" formatCode="_ * #,##0_ ;_ * \-#,##0_ ;_ * &quot;-&quot;??_ ;_ @_ "/>
    <numFmt numFmtId="171" formatCode="_ * #,##0.000_ ;_ * \-#,##0.000_ ;_ * &quot;-&quot;??_ ;_ @_ "/>
    <numFmt numFmtId="172" formatCode="_-* #,##0\ _F_-;\-* #,##0\ _F_-;_-* &quot;-&quot;??\ _F_-;_-@_-"/>
    <numFmt numFmtId="173" formatCode="dd/mm/yy;@"/>
    <numFmt numFmtId="174" formatCode="d/m/yy;@"/>
    <numFmt numFmtId="175" formatCode="#,##0,000;\(#,##0,000\)"/>
    <numFmt numFmtId="176" formatCode="_-* #&quot; &quot;##0.00\ [$€]_-;\-* #&quot; &quot;##0.00\ [$€]_-;_-* &quot;-&quot;??\ [$€]_-;_-@_-"/>
    <numFmt numFmtId="177" formatCode="###,000;\(#,##0,000\)"/>
    <numFmt numFmtId="178" formatCode="yyyy"/>
    <numFmt numFmtId="179" formatCode="#,##0;\(\ #,##0\)"/>
    <numFmt numFmtId="180" formatCode="#,##0;\ \(#,##0\)"/>
    <numFmt numFmtId="181" formatCode="\-"/>
    <numFmt numFmtId="182" formatCode="&quot;د.ت.&quot;\ #,##0_-;&quot;د.ت.&quot;\ #,##0\-"/>
    <numFmt numFmtId="183" formatCode="&quot;د.ت.&quot;\ #,##0_-;[Red]&quot;د.ت.&quot;\ #,##0\-"/>
    <numFmt numFmtId="184" formatCode="&quot;د.ت.&quot;\ #,##0.00_-;&quot;د.ت.&quot;\ #,##0.00\-"/>
    <numFmt numFmtId="185" formatCode="&quot;د.ت.&quot;\ #,##0.00_-;[Red]&quot;د.ت.&quot;\ #,##0.00\-"/>
    <numFmt numFmtId="186" formatCode="_-&quot;د.ت.&quot;\ * #,##0_-;_-&quot;د.ت.&quot;\ * #,##0\-;_-&quot;د.ت.&quot;\ * &quot;-&quot;_-;_-@_-"/>
    <numFmt numFmtId="187" formatCode="_-* #,##0_-;_-* #,##0\-;_-* &quot;-&quot;_-;_-@_-"/>
    <numFmt numFmtId="188" formatCode="_-&quot;د.ت.&quot;\ * #,##0.00_-;_-&quot;د.ت.&quot;\ * #,##0.00\-;_-&quot;د.ت.&quot;\ * &quot;-&quot;??_-;_-@_-"/>
    <numFmt numFmtId="189" formatCode="_-* #,##0.00_-;_-* #,##0.00\-;_-* &quot;-&quot;??_-;_-@_-"/>
    <numFmt numFmtId="190" formatCode="#,##0\ &quot;D T&quot;;\-#,##0\ &quot;D T&quot;"/>
    <numFmt numFmtId="191" formatCode="#,##0\ &quot;D T&quot;;[Red]\-#,##0\ &quot;D T&quot;"/>
    <numFmt numFmtId="192" formatCode="#,##0.00\ &quot;D T&quot;;\-#,##0.00\ &quot;D T&quot;"/>
    <numFmt numFmtId="193" formatCode="#,##0.00\ &quot;D T&quot;;[Red]\-#,##0.00\ &quot;D T&quot;"/>
    <numFmt numFmtId="194" formatCode="_-* #,##0\ &quot;D T&quot;_-;\-* #,##0\ &quot;D T&quot;_-;_-* &quot;-&quot;\ &quot;D T&quot;_-;_-@_-"/>
    <numFmt numFmtId="195" formatCode="_-* #,##0\ _D_ _T_-;\-* #,##0\ _D_ _T_-;_-* &quot;-&quot;\ _D_ _T_-;_-@_-"/>
    <numFmt numFmtId="196" formatCode="_-* #,##0.00\ &quot;D T&quot;_-;\-* #,##0.00\ &quot;D T&quot;_-;_-* &quot;-&quot;??\ &quot;D T&quot;_-;_-@_-"/>
    <numFmt numFmtId="197" formatCode="_-* #,##0.00\ _D_ _T_-;\-* #,##0.00\ _D_ _T_-;_-* &quot;-&quot;??\ _D_ _T_-;_-@_-"/>
    <numFmt numFmtId="198" formatCode="#,##0.000"/>
    <numFmt numFmtId="199" formatCode="0.0%"/>
    <numFmt numFmtId="200" formatCode="0.000%"/>
    <numFmt numFmtId="201" formatCode="#,##0,000;\(###,000\)"/>
    <numFmt numFmtId="202" formatCode="#,##0;\(#,##0,000\)"/>
    <numFmt numFmtId="203" formatCode="#,##0,000;\(#,##0,\)"/>
    <numFmt numFmtId="204" formatCode="###,000;\(###,000\)"/>
    <numFmt numFmtId="205" formatCode="###;\(###,\)"/>
    <numFmt numFmtId="206" formatCode="#,##0.000;\(#,###.000\)"/>
    <numFmt numFmtId="207" formatCode="#,##0.000;\ \(#,##0.000\)"/>
    <numFmt numFmtId="208" formatCode="\ ##0,000;\(##,000\)"/>
    <numFmt numFmtId="209" formatCode="0.00000000"/>
    <numFmt numFmtId="210" formatCode="0.0000000"/>
    <numFmt numFmtId="211" formatCode="0.000000"/>
    <numFmt numFmtId="212" formatCode="0.00000"/>
    <numFmt numFmtId="213" formatCode="0.0000"/>
    <numFmt numFmtId="214" formatCode="#,##0.0;\ \(#,##0.0\)"/>
    <numFmt numFmtId="215" formatCode="#,##0.00;\ \(#,##0.00\)"/>
    <numFmt numFmtId="216" formatCode="#,##0,000.0;\(#,##0,000.0\)"/>
    <numFmt numFmtId="217" formatCode="#,##0,000.00;\(#,##0,000.00\)"/>
    <numFmt numFmtId="218" formatCode="_-* #,##0\ &quot;F&quot;_-;\-* #,##0\ &quot;F&quot;_-;_-* &quot;-&quot;\ &quot;F&quot;_-;_-@_-"/>
    <numFmt numFmtId="219" formatCode="_-* #,##0\ _F_-;\-* #,##0\ _F_-;_-* &quot;-&quot;\ _F_-;_-@_-"/>
    <numFmt numFmtId="220" formatCode="_-* #,##0.00\ &quot;F&quot;_-;\-* #,##0.00\ &quot;F&quot;_-;_-* &quot;-&quot;??\ &quot;F&quot;_-;_-@_-"/>
    <numFmt numFmtId="221" formatCode="_-* #,##0.00\ _F_-;\-* #,##0.00\ _F_-;_-* &quot;-&quot;??\ _F_-;_-@_-"/>
    <numFmt numFmtId="222" formatCode="#,##0,000.000;\(#,##0,000.000\)"/>
    <numFmt numFmtId="223" formatCode="###,000.000;\(#,##0,000.000\)"/>
    <numFmt numFmtId="224" formatCode="_-* #,##0.00\ [$€]_-;\-* #,##0.00\ [$€]_-;_-* &quot;-&quot;??\ [$€]_-;_-@_-"/>
    <numFmt numFmtId="225" formatCode="0.0"/>
    <numFmt numFmtId="226" formatCode="#,##0;\(#,##0\)"/>
  </numFmts>
  <fonts count="56">
    <font>
      <sz val="10"/>
      <name val="Arial"/>
      <family val="0"/>
    </font>
    <font>
      <b/>
      <sz val="10"/>
      <name val="Arial"/>
      <family val="0"/>
    </font>
    <font>
      <i/>
      <sz val="10"/>
      <name val="Arial"/>
      <family val="0"/>
    </font>
    <font>
      <b/>
      <i/>
      <sz val="10"/>
      <name val="Arial"/>
      <family val="0"/>
    </font>
    <font>
      <u val="single"/>
      <sz val="7.5"/>
      <color indexed="12"/>
      <name val="Arial"/>
      <family val="0"/>
    </font>
    <font>
      <u val="single"/>
      <sz val="7.5"/>
      <color indexed="36"/>
      <name val="Arial"/>
      <family val="0"/>
    </font>
    <font>
      <sz val="12"/>
      <name val="Arial Narrow"/>
      <family val="2"/>
    </font>
    <font>
      <i/>
      <sz val="12"/>
      <name val="Arial Narrow"/>
      <family val="2"/>
    </font>
    <font>
      <b/>
      <i/>
      <u val="single"/>
      <sz val="12"/>
      <name val="Arial Narrow"/>
      <family val="2"/>
    </font>
    <font>
      <b/>
      <sz val="12"/>
      <name val="Arial Narrow"/>
      <family val="2"/>
    </font>
    <font>
      <b/>
      <u val="single"/>
      <sz val="12"/>
      <name val="Arial Narrow"/>
      <family val="2"/>
    </font>
    <font>
      <u val="single"/>
      <sz val="12"/>
      <name val="Arial Narrow"/>
      <family val="2"/>
    </font>
    <font>
      <i/>
      <u val="single"/>
      <sz val="12"/>
      <name val="Arial Narrow"/>
      <family val="2"/>
    </font>
    <font>
      <sz val="8"/>
      <name val="Tahoma"/>
      <family val="0"/>
    </font>
    <font>
      <sz val="10"/>
      <name val="Tahoma"/>
      <family val="0"/>
    </font>
    <font>
      <b/>
      <sz val="10"/>
      <color indexed="61"/>
      <name val="Tahoma"/>
      <family val="2"/>
    </font>
    <font>
      <sz val="12"/>
      <name val="Times New Roman"/>
      <family val="1"/>
    </font>
    <font>
      <b/>
      <i/>
      <sz val="12"/>
      <name val="Arial Narrow"/>
      <family val="2"/>
    </font>
    <font>
      <sz val="8"/>
      <name val="Arial"/>
      <family val="0"/>
    </font>
    <font>
      <b/>
      <sz val="14"/>
      <name val="Arial Narrow"/>
      <family val="2"/>
    </font>
    <font>
      <b/>
      <u val="singleAccounting"/>
      <sz val="14"/>
      <name val="Arial Narrow"/>
      <family val="2"/>
    </font>
    <font>
      <b/>
      <sz val="16"/>
      <name val="Arial Narrow"/>
      <family val="2"/>
    </font>
    <font>
      <b/>
      <u val="single"/>
      <sz val="16"/>
      <name val="Arial Narrow"/>
      <family val="2"/>
    </font>
    <font>
      <b/>
      <sz val="12"/>
      <color indexed="9"/>
      <name val="Arial Narrow"/>
      <family val="2"/>
    </font>
    <font>
      <b/>
      <i/>
      <sz val="24"/>
      <name val="Times New Roman"/>
      <family val="1"/>
    </font>
    <font>
      <b/>
      <i/>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8"/>
      <name val="Arial Narrow"/>
      <family val="2"/>
    </font>
    <font>
      <sz val="10"/>
      <name val="Arial Narrow"/>
      <family val="2"/>
    </font>
    <font>
      <b/>
      <sz val="10"/>
      <name val="Arial Narrow"/>
      <family val="2"/>
    </font>
    <font>
      <b/>
      <u val="single"/>
      <sz val="10"/>
      <name val="Arial Narrow"/>
      <family val="2"/>
    </font>
    <font>
      <u val="single"/>
      <sz val="10"/>
      <name val="Arial Narrow"/>
      <family val="2"/>
    </font>
    <font>
      <b/>
      <i/>
      <u val="single"/>
      <sz val="10"/>
      <name val="Arial Narrow"/>
      <family val="2"/>
    </font>
    <font>
      <sz val="15.75"/>
      <color indexed="8"/>
      <name val="Arial Narrow"/>
      <family val="0"/>
    </font>
    <font>
      <sz val="8.5"/>
      <color indexed="8"/>
      <name val="Arial Narrow"/>
      <family val="0"/>
    </font>
    <font>
      <sz val="7.8"/>
      <color indexed="8"/>
      <name val="Arial Narrow"/>
      <family val="0"/>
    </font>
    <font>
      <sz val="10"/>
      <color indexed="8"/>
      <name val="Arial"/>
      <family val="0"/>
    </font>
    <font>
      <sz val="9.2"/>
      <color indexed="8"/>
      <name val="Arial"/>
      <family val="0"/>
    </font>
    <font>
      <b/>
      <sz val="16.75"/>
      <color indexed="8"/>
      <name val="Arial Narrow"/>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15"/>
        <bgColor indexed="64"/>
      </patternFill>
    </fill>
    <fill>
      <patternFill patternType="solid">
        <fgColor indexed="8"/>
        <bgColor indexed="64"/>
      </patternFill>
    </fill>
  </fills>
  <borders count="18">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right/>
      <top style="thin"/>
      <bottom style="thin"/>
    </border>
    <border>
      <left/>
      <right/>
      <top style="thin"/>
      <bottom style="double"/>
    </border>
    <border>
      <left>
        <color indexed="63"/>
      </left>
      <right style="thin"/>
      <top>
        <color indexed="63"/>
      </top>
      <bottom>
        <color indexed="63"/>
      </bottom>
    </border>
    <border>
      <left>
        <color indexed="63"/>
      </left>
      <right>
        <color indexed="63"/>
      </right>
      <top>
        <color indexed="63"/>
      </top>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0" borderId="2" applyNumberFormat="0" applyFill="0" applyAlignment="0" applyProtection="0"/>
    <xf numFmtId="0" fontId="0" fillId="21" borderId="3" applyNumberFormat="0" applyFont="0" applyAlignment="0" applyProtection="0"/>
    <xf numFmtId="0" fontId="31" fillId="7" borderId="1" applyNumberFormat="0" applyAlignment="0" applyProtection="0"/>
    <xf numFmtId="176" fontId="0" fillId="0" borderId="0" applyFont="0" applyFill="0" applyBorder="0" applyAlignment="0" applyProtection="0"/>
    <xf numFmtId="0" fontId="32" fillId="3"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221"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3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34" fillId="4" borderId="0" applyNumberFormat="0" applyBorder="0" applyAlignment="0" applyProtection="0"/>
    <xf numFmtId="0" fontId="35" fillId="20"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3" borderId="9" applyNumberFormat="0" applyAlignment="0" applyProtection="0"/>
  </cellStyleXfs>
  <cellXfs count="171">
    <xf numFmtId="0" fontId="0" fillId="0" borderId="0" xfId="0" applyAlignment="1">
      <alignment/>
    </xf>
    <xf numFmtId="0" fontId="6"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3" fontId="9" fillId="0" borderId="0" xfId="0" applyNumberFormat="1" applyFont="1" applyFill="1" applyBorder="1" applyAlignment="1">
      <alignment horizontal="center"/>
    </xf>
    <xf numFmtId="0" fontId="9" fillId="0" borderId="0" xfId="0" applyFont="1" applyBorder="1" applyAlignment="1">
      <alignment/>
    </xf>
    <xf numFmtId="168" fontId="9" fillId="0" borderId="0" xfId="0" applyNumberFormat="1" applyFont="1" applyFill="1" applyBorder="1" applyAlignment="1">
      <alignment horizontal="center"/>
    </xf>
    <xf numFmtId="1" fontId="6" fillId="0" borderId="0" xfId="0" applyNumberFormat="1" applyFont="1" applyBorder="1" applyAlignment="1">
      <alignment horizontal="right"/>
    </xf>
    <xf numFmtId="0" fontId="6" fillId="0" borderId="0" xfId="0" applyFont="1" applyFill="1" applyBorder="1" applyAlignment="1">
      <alignment/>
    </xf>
    <xf numFmtId="0" fontId="9" fillId="0" borderId="0" xfId="0" applyFont="1" applyFill="1" applyBorder="1" applyAlignment="1">
      <alignment horizontal="right"/>
    </xf>
    <xf numFmtId="1" fontId="9" fillId="0" borderId="0" xfId="0" applyNumberFormat="1" applyFont="1" applyFill="1" applyBorder="1" applyAlignment="1">
      <alignment horizontal="center"/>
    </xf>
    <xf numFmtId="168" fontId="6" fillId="0" borderId="0" xfId="0" applyNumberFormat="1" applyFont="1" applyBorder="1" applyAlignment="1">
      <alignment horizontal="right"/>
    </xf>
    <xf numFmtId="0" fontId="10" fillId="0" borderId="0" xfId="0" applyFont="1" applyBorder="1" applyAlignment="1">
      <alignment/>
    </xf>
    <xf numFmtId="168" fontId="6" fillId="0" borderId="0" xfId="0" applyNumberFormat="1" applyFont="1" applyBorder="1" applyAlignment="1">
      <alignment/>
    </xf>
    <xf numFmtId="3" fontId="9" fillId="0" borderId="0" xfId="0" applyNumberFormat="1" applyFont="1" applyBorder="1" applyAlignment="1">
      <alignment horizontal="center"/>
    </xf>
    <xf numFmtId="3" fontId="6" fillId="0" borderId="0" xfId="0" applyNumberFormat="1" applyFont="1" applyBorder="1" applyAlignment="1">
      <alignment horizontal="right"/>
    </xf>
    <xf numFmtId="168" fontId="9" fillId="0" borderId="0" xfId="0" applyNumberFormat="1" applyFont="1" applyBorder="1" applyAlignment="1">
      <alignment horizontal="center"/>
    </xf>
    <xf numFmtId="1" fontId="9" fillId="0" borderId="0" xfId="0" applyNumberFormat="1" applyFont="1" applyBorder="1" applyAlignment="1">
      <alignment horizontal="center"/>
    </xf>
    <xf numFmtId="0" fontId="9" fillId="0" borderId="0" xfId="0" applyFont="1" applyFill="1" applyBorder="1" applyAlignment="1">
      <alignment/>
    </xf>
    <xf numFmtId="168" fontId="9" fillId="0" borderId="0" xfId="0" applyNumberFormat="1" applyFont="1" applyBorder="1" applyAlignment="1" quotePrefix="1">
      <alignment horizontal="center"/>
    </xf>
    <xf numFmtId="1" fontId="9" fillId="0" borderId="0" xfId="0" applyNumberFormat="1" applyFont="1" applyBorder="1" applyAlignment="1" quotePrefix="1">
      <alignment horizontal="center"/>
    </xf>
    <xf numFmtId="168" fontId="9" fillId="0" borderId="0" xfId="0" applyNumberFormat="1" applyFont="1" applyFill="1" applyBorder="1" applyAlignment="1">
      <alignment horizontal="right"/>
    </xf>
    <xf numFmtId="0" fontId="11" fillId="0" borderId="0" xfId="0" applyFont="1" applyBorder="1" applyAlignment="1">
      <alignment/>
    </xf>
    <xf numFmtId="0" fontId="8" fillId="0" borderId="0" xfId="0" applyFont="1" applyFill="1" applyBorder="1" applyAlignment="1">
      <alignment horizontal="centerContinuous"/>
    </xf>
    <xf numFmtId="168" fontId="10" fillId="0" borderId="0" xfId="0" applyNumberFormat="1" applyFont="1" applyFill="1" applyBorder="1" applyAlignment="1">
      <alignment horizontal="center"/>
    </xf>
    <xf numFmtId="0" fontId="10" fillId="0" borderId="0" xfId="0" applyFont="1" applyFill="1" applyBorder="1" applyAlignment="1">
      <alignment horizontal="centerContinuous"/>
    </xf>
    <xf numFmtId="1" fontId="10" fillId="0" borderId="0" xfId="0" applyNumberFormat="1" applyFont="1" applyBorder="1" applyAlignment="1">
      <alignment horizontal="center"/>
    </xf>
    <xf numFmtId="168" fontId="10" fillId="0" borderId="0" xfId="0" applyNumberFormat="1" applyFont="1" applyBorder="1" applyAlignment="1">
      <alignment horizontal="center"/>
    </xf>
    <xf numFmtId="0" fontId="1" fillId="0" borderId="0" xfId="0" applyFont="1" applyAlignment="1">
      <alignment/>
    </xf>
    <xf numFmtId="0" fontId="1" fillId="0" borderId="10" xfId="0" applyFont="1" applyBorder="1" applyAlignment="1">
      <alignment/>
    </xf>
    <xf numFmtId="0" fontId="0" fillId="0" borderId="0" xfId="0" applyAlignment="1">
      <alignment horizontal="center"/>
    </xf>
    <xf numFmtId="170" fontId="0" fillId="0" borderId="0" xfId="48" applyNumberFormat="1" applyFont="1" applyAlignment="1">
      <alignment/>
    </xf>
    <xf numFmtId="0" fontId="0" fillId="0" borderId="10" xfId="0" applyBorder="1" applyAlignment="1">
      <alignment horizontal="justify"/>
    </xf>
    <xf numFmtId="0" fontId="1" fillId="0" borderId="10" xfId="0" applyFont="1" applyBorder="1" applyAlignment="1">
      <alignment horizontal="center" vertical="center"/>
    </xf>
    <xf numFmtId="0" fontId="1" fillId="0" borderId="10" xfId="0" applyFont="1" applyBorder="1" applyAlignment="1">
      <alignment horizontal="justify" vertical="center"/>
    </xf>
    <xf numFmtId="0" fontId="0" fillId="0" borderId="10" xfId="0" applyBorder="1" applyAlignment="1">
      <alignment horizontal="justify" vertical="center"/>
    </xf>
    <xf numFmtId="0" fontId="0" fillId="0" borderId="0" xfId="0" applyAlignment="1">
      <alignment horizontal="justify" vertical="center"/>
    </xf>
    <xf numFmtId="170" fontId="1" fillId="0" borderId="0" xfId="48" applyNumberFormat="1" applyFont="1" applyAlignment="1">
      <alignment/>
    </xf>
    <xf numFmtId="0" fontId="9" fillId="24" borderId="0" xfId="0" applyFont="1" applyFill="1" applyBorder="1" applyAlignment="1">
      <alignment/>
    </xf>
    <xf numFmtId="0" fontId="1" fillId="0" borderId="11" xfId="0" applyFont="1" applyBorder="1" applyAlignment="1">
      <alignment/>
    </xf>
    <xf numFmtId="0" fontId="1" fillId="0" borderId="10" xfId="0" applyFont="1" applyFill="1" applyBorder="1" applyAlignment="1">
      <alignment/>
    </xf>
    <xf numFmtId="0" fontId="6" fillId="0" borderId="0" xfId="0" applyFont="1" applyBorder="1" applyAlignment="1">
      <alignment horizontal="center"/>
    </xf>
    <xf numFmtId="0" fontId="6" fillId="0" borderId="0" xfId="0" applyFont="1" applyAlignment="1">
      <alignment/>
    </xf>
    <xf numFmtId="0" fontId="9" fillId="0" borderId="0" xfId="0" applyFont="1" applyAlignment="1">
      <alignment/>
    </xf>
    <xf numFmtId="0" fontId="9" fillId="0" borderId="10" xfId="0" applyFont="1" applyBorder="1" applyAlignment="1">
      <alignment/>
    </xf>
    <xf numFmtId="14" fontId="9" fillId="0" borderId="10" xfId="0" applyNumberFormat="1" applyFont="1" applyBorder="1" applyAlignment="1">
      <alignment/>
    </xf>
    <xf numFmtId="0" fontId="6" fillId="0" borderId="10" xfId="0" applyFont="1" applyBorder="1" applyAlignment="1">
      <alignment/>
    </xf>
    <xf numFmtId="3" fontId="6" fillId="0" borderId="10" xfId="0" applyNumberFormat="1" applyFont="1" applyBorder="1" applyAlignment="1">
      <alignment/>
    </xf>
    <xf numFmtId="3" fontId="9" fillId="0" borderId="10" xfId="0" applyNumberFormat="1" applyFont="1" applyBorder="1" applyAlignment="1">
      <alignment/>
    </xf>
    <xf numFmtId="165" fontId="6" fillId="0" borderId="0" xfId="48" applyNumberFormat="1" applyFont="1" applyAlignment="1">
      <alignment/>
    </xf>
    <xf numFmtId="3" fontId="6" fillId="0" borderId="0" xfId="0" applyNumberFormat="1" applyFont="1" applyAlignment="1">
      <alignment/>
    </xf>
    <xf numFmtId="165" fontId="6" fillId="0" borderId="0" xfId="48" applyFont="1" applyAlignment="1">
      <alignment/>
    </xf>
    <xf numFmtId="0" fontId="6"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14" fontId="9" fillId="0" borderId="0" xfId="0" applyNumberFormat="1" applyFont="1" applyAlignment="1">
      <alignment/>
    </xf>
    <xf numFmtId="0" fontId="9" fillId="0" borderId="0" xfId="0" applyNumberFormat="1" applyFont="1" applyAlignment="1">
      <alignment vertical="center"/>
    </xf>
    <xf numFmtId="0" fontId="6" fillId="0" borderId="12" xfId="0" applyNumberFormat="1" applyFont="1" applyBorder="1" applyAlignment="1">
      <alignment horizontal="center" vertical="center"/>
    </xf>
    <xf numFmtId="171" fontId="6" fillId="0" borderId="0" xfId="48" applyNumberFormat="1" applyFont="1" applyAlignment="1">
      <alignment/>
    </xf>
    <xf numFmtId="0" fontId="6" fillId="0" borderId="12" xfId="0" applyFont="1" applyBorder="1" applyAlignment="1">
      <alignment horizontal="center"/>
    </xf>
    <xf numFmtId="173" fontId="9" fillId="0" borderId="0" xfId="48" applyNumberFormat="1" applyFont="1" applyAlignment="1">
      <alignment/>
    </xf>
    <xf numFmtId="0" fontId="6" fillId="0" borderId="0" xfId="0" applyNumberFormat="1" applyFont="1" applyBorder="1" applyAlignment="1">
      <alignment horizontal="center" vertical="center"/>
    </xf>
    <xf numFmtId="170" fontId="6" fillId="0" borderId="0" xfId="48" applyNumberFormat="1" applyFont="1" applyAlignment="1">
      <alignment/>
    </xf>
    <xf numFmtId="43" fontId="6" fillId="0" borderId="0" xfId="0" applyNumberFormat="1" applyFont="1" applyAlignment="1">
      <alignment horizontal="center"/>
    </xf>
    <xf numFmtId="43" fontId="6" fillId="0" borderId="0" xfId="0" applyNumberFormat="1" applyFont="1" applyAlignment="1">
      <alignment/>
    </xf>
    <xf numFmtId="14" fontId="9" fillId="0" borderId="0" xfId="0" applyNumberFormat="1" applyFont="1" applyAlignment="1">
      <alignment horizontal="center"/>
    </xf>
    <xf numFmtId="172" fontId="6" fillId="0" borderId="0" xfId="0" applyNumberFormat="1" applyFont="1" applyAlignment="1">
      <alignment/>
    </xf>
    <xf numFmtId="169" fontId="9" fillId="0" borderId="0" xfId="0" applyNumberFormat="1" applyFont="1" applyAlignment="1">
      <alignment horizontal="center"/>
    </xf>
    <xf numFmtId="9" fontId="6" fillId="0" borderId="0" xfId="57" applyFont="1" applyAlignment="1">
      <alignment/>
    </xf>
    <xf numFmtId="0" fontId="6" fillId="0" borderId="0" xfId="0" applyFont="1" applyBorder="1" applyAlignment="1">
      <alignment horizontal="center" vertical="center"/>
    </xf>
    <xf numFmtId="3" fontId="6" fillId="0" borderId="0" xfId="0" applyNumberFormat="1" applyFont="1" applyBorder="1" applyAlignment="1">
      <alignment horizontal="center" vertical="center"/>
    </xf>
    <xf numFmtId="0" fontId="10" fillId="0" borderId="0" xfId="0" applyFont="1" applyBorder="1" applyAlignment="1">
      <alignment horizontal="center" vertical="center"/>
    </xf>
    <xf numFmtId="0" fontId="17" fillId="0" borderId="0" xfId="0" applyFont="1" applyBorder="1" applyAlignment="1">
      <alignment vertical="center"/>
    </xf>
    <xf numFmtId="3" fontId="6" fillId="0" borderId="0" xfId="0" applyNumberFormat="1" applyFont="1" applyBorder="1" applyAlignment="1">
      <alignment/>
    </xf>
    <xf numFmtId="3" fontId="6" fillId="25" borderId="0" xfId="0" applyNumberFormat="1" applyFont="1" applyFill="1" applyBorder="1" applyAlignment="1" applyProtection="1">
      <alignment horizontal="right" vertical="center"/>
      <protection locked="0"/>
    </xf>
    <xf numFmtId="0" fontId="7" fillId="0" borderId="0" xfId="0" applyFont="1" applyBorder="1" applyAlignment="1">
      <alignment vertical="center"/>
    </xf>
    <xf numFmtId="3" fontId="6" fillId="0" borderId="0" xfId="0" applyNumberFormat="1" applyFont="1" applyBorder="1" applyAlignment="1">
      <alignment vertical="center"/>
    </xf>
    <xf numFmtId="3" fontId="6" fillId="0" borderId="0" xfId="0" applyNumberFormat="1" applyFont="1" applyBorder="1" applyAlignment="1">
      <alignment horizontal="right" vertical="center"/>
    </xf>
    <xf numFmtId="3" fontId="9" fillId="24" borderId="0" xfId="0" applyNumberFormat="1" applyFont="1" applyFill="1" applyBorder="1" applyAlignment="1">
      <alignment/>
    </xf>
    <xf numFmtId="3" fontId="9" fillId="0" borderId="0" xfId="0" applyNumberFormat="1" applyFont="1" applyBorder="1" applyAlignment="1">
      <alignment vertical="center"/>
    </xf>
    <xf numFmtId="3" fontId="9" fillId="24" borderId="0" xfId="0" applyNumberFormat="1" applyFont="1" applyFill="1" applyBorder="1" applyAlignment="1">
      <alignment horizontal="right"/>
    </xf>
    <xf numFmtId="3" fontId="10" fillId="24" borderId="0" xfId="0" applyNumberFormat="1" applyFont="1" applyFill="1" applyBorder="1" applyAlignment="1">
      <alignment horizontal="right"/>
    </xf>
    <xf numFmtId="0" fontId="17" fillId="0" borderId="0" xfId="0" applyFont="1" applyFill="1" applyBorder="1" applyAlignment="1">
      <alignment vertical="center"/>
    </xf>
    <xf numFmtId="174" fontId="9" fillId="0" borderId="0" xfId="0" applyNumberFormat="1" applyFont="1" applyAlignment="1">
      <alignment horizontal="center"/>
    </xf>
    <xf numFmtId="171" fontId="6" fillId="0" borderId="0" xfId="48" applyNumberFormat="1" applyFont="1" applyAlignment="1">
      <alignment horizontal="center"/>
    </xf>
    <xf numFmtId="14" fontId="6" fillId="0" borderId="0" xfId="0" applyNumberFormat="1" applyFont="1" applyAlignment="1">
      <alignment/>
    </xf>
    <xf numFmtId="170" fontId="20" fillId="0" borderId="0" xfId="48" applyNumberFormat="1" applyFont="1" applyAlignment="1">
      <alignment/>
    </xf>
    <xf numFmtId="10" fontId="9" fillId="0" borderId="0" xfId="57" applyNumberFormat="1" applyFont="1" applyAlignment="1">
      <alignment/>
    </xf>
    <xf numFmtId="10" fontId="6" fillId="0" borderId="0" xfId="57" applyNumberFormat="1" applyFont="1" applyAlignment="1">
      <alignment/>
    </xf>
    <xf numFmtId="10" fontId="20" fillId="0" borderId="0" xfId="57" applyNumberFormat="1" applyFont="1" applyAlignment="1">
      <alignment/>
    </xf>
    <xf numFmtId="10" fontId="9" fillId="0" borderId="0" xfId="57" applyNumberFormat="1" applyFont="1" applyAlignment="1">
      <alignment horizontal="center"/>
    </xf>
    <xf numFmtId="0" fontId="21" fillId="0" borderId="0" xfId="0" applyFont="1" applyAlignment="1">
      <alignment/>
    </xf>
    <xf numFmtId="14" fontId="19" fillId="0" borderId="10" xfId="0" applyNumberFormat="1" applyFont="1" applyBorder="1" applyAlignment="1">
      <alignment/>
    </xf>
    <xf numFmtId="10" fontId="6" fillId="0" borderId="10" xfId="57" applyNumberFormat="1" applyFont="1" applyBorder="1" applyAlignment="1">
      <alignment/>
    </xf>
    <xf numFmtId="0" fontId="10" fillId="0" borderId="10" xfId="0" applyFont="1" applyBorder="1" applyAlignment="1">
      <alignment/>
    </xf>
    <xf numFmtId="10" fontId="10" fillId="0" borderId="10" xfId="57" applyNumberFormat="1" applyFont="1" applyBorder="1" applyAlignment="1">
      <alignment/>
    </xf>
    <xf numFmtId="0" fontId="9" fillId="0" borderId="10" xfId="0" applyFont="1" applyBorder="1" applyAlignment="1">
      <alignment horizontal="center"/>
    </xf>
    <xf numFmtId="170" fontId="6" fillId="0" borderId="0" xfId="0" applyNumberFormat="1" applyFont="1" applyAlignment="1">
      <alignment/>
    </xf>
    <xf numFmtId="170" fontId="20" fillId="0" borderId="0" xfId="48" applyNumberFormat="1" applyFont="1" applyAlignment="1">
      <alignment wrapText="1"/>
    </xf>
    <xf numFmtId="0" fontId="6" fillId="0" borderId="0" xfId="57" applyNumberFormat="1" applyFont="1" applyAlignment="1">
      <alignment/>
    </xf>
    <xf numFmtId="170" fontId="6" fillId="24" borderId="0" xfId="48" applyNumberFormat="1" applyFont="1" applyFill="1" applyAlignment="1">
      <alignment/>
    </xf>
    <xf numFmtId="10" fontId="6" fillId="0" borderId="0" xfId="0" applyNumberFormat="1" applyFont="1" applyAlignment="1">
      <alignment/>
    </xf>
    <xf numFmtId="0" fontId="6" fillId="0" borderId="0" xfId="0" applyNumberFormat="1" applyFont="1" applyAlignment="1">
      <alignment/>
    </xf>
    <xf numFmtId="0" fontId="6" fillId="0" borderId="0" xfId="56" applyFont="1" applyBorder="1">
      <alignment/>
      <protection/>
    </xf>
    <xf numFmtId="10" fontId="9" fillId="0" borderId="0" xfId="57" applyNumberFormat="1" applyFont="1" applyFill="1" applyAlignment="1">
      <alignment/>
    </xf>
    <xf numFmtId="14" fontId="23" fillId="26" borderId="0" xfId="0" applyNumberFormat="1" applyFont="1" applyFill="1" applyBorder="1" applyAlignment="1" applyProtection="1">
      <alignment horizontal="center"/>
      <protection locked="0"/>
    </xf>
    <xf numFmtId="9" fontId="6" fillId="0" borderId="0" xfId="57" applyFont="1" applyFill="1" applyAlignment="1">
      <alignment/>
    </xf>
    <xf numFmtId="10" fontId="6" fillId="0" borderId="0" xfId="57" applyNumberFormat="1" applyFont="1" applyFill="1" applyAlignment="1">
      <alignment/>
    </xf>
    <xf numFmtId="168" fontId="6" fillId="0" borderId="0" xfId="57" applyNumberFormat="1" applyFont="1" applyAlignment="1">
      <alignment horizontal="center"/>
    </xf>
    <xf numFmtId="168" fontId="20" fillId="0" borderId="0" xfId="57" applyNumberFormat="1" applyFont="1" applyAlignment="1">
      <alignment horizontal="center"/>
    </xf>
    <xf numFmtId="14" fontId="1" fillId="0" borderId="13" xfId="48" applyNumberFormat="1" applyFont="1" applyBorder="1" applyAlignment="1">
      <alignment horizontal="center"/>
    </xf>
    <xf numFmtId="172" fontId="16" fillId="0" borderId="10" xfId="48" applyNumberFormat="1" applyFont="1" applyFill="1" applyBorder="1" applyAlignment="1" applyProtection="1">
      <alignment/>
      <protection locked="0"/>
    </xf>
    <xf numFmtId="0" fontId="0" fillId="0" borderId="0" xfId="0" applyFill="1" applyAlignment="1">
      <alignment/>
    </xf>
    <xf numFmtId="3" fontId="7" fillId="0" borderId="0" xfId="0" applyNumberFormat="1" applyFont="1" applyBorder="1" applyAlignment="1">
      <alignment vertical="center"/>
    </xf>
    <xf numFmtId="10" fontId="6" fillId="0" borderId="0" xfId="0" applyNumberFormat="1" applyFont="1" applyBorder="1" applyAlignment="1">
      <alignment/>
    </xf>
    <xf numFmtId="10" fontId="6" fillId="0" borderId="0" xfId="0" applyNumberFormat="1" applyFont="1" applyFill="1" applyBorder="1" applyAlignment="1">
      <alignment/>
    </xf>
    <xf numFmtId="10" fontId="6" fillId="0" borderId="0" xfId="0" applyNumberFormat="1" applyFont="1" applyBorder="1" applyAlignment="1">
      <alignment horizontal="center" vertical="center"/>
    </xf>
    <xf numFmtId="10" fontId="6" fillId="0" borderId="0" xfId="0" applyNumberFormat="1" applyFont="1" applyBorder="1" applyAlignment="1">
      <alignment vertical="center"/>
    </xf>
    <xf numFmtId="10" fontId="6" fillId="0" borderId="0" xfId="0" applyNumberFormat="1" applyFont="1" applyBorder="1" applyAlignment="1">
      <alignment horizontal="right" vertical="center"/>
    </xf>
    <xf numFmtId="10" fontId="9" fillId="0" borderId="0" xfId="0" applyNumberFormat="1" applyFont="1" applyBorder="1" applyAlignment="1">
      <alignment vertical="center"/>
    </xf>
    <xf numFmtId="10" fontId="7" fillId="0" borderId="0" xfId="0" applyNumberFormat="1" applyFont="1" applyFill="1" applyBorder="1" applyAlignment="1">
      <alignment horizontal="center" vertical="center"/>
    </xf>
    <xf numFmtId="10" fontId="6" fillId="0" borderId="0" xfId="0" applyNumberFormat="1" applyFont="1" applyFill="1" applyBorder="1" applyAlignment="1">
      <alignment vertical="center"/>
    </xf>
    <xf numFmtId="10" fontId="9" fillId="0" borderId="0" xfId="0" applyNumberFormat="1" applyFont="1" applyFill="1" applyBorder="1" applyAlignment="1">
      <alignment vertical="center"/>
    </xf>
    <xf numFmtId="10" fontId="6" fillId="0" borderId="0" xfId="0" applyNumberFormat="1" applyFont="1" applyBorder="1" applyAlignment="1">
      <alignment horizontal="center"/>
    </xf>
    <xf numFmtId="3" fontId="9" fillId="0" borderId="0" xfId="0" applyNumberFormat="1" applyFont="1" applyBorder="1" applyAlignment="1">
      <alignment/>
    </xf>
    <xf numFmtId="0" fontId="43" fillId="0" borderId="0" xfId="0" applyFont="1" applyAlignment="1">
      <alignment/>
    </xf>
    <xf numFmtId="0" fontId="44" fillId="0" borderId="0" xfId="0" applyFont="1" applyAlignment="1">
      <alignment/>
    </xf>
    <xf numFmtId="0" fontId="44" fillId="0" borderId="0" xfId="0" applyFont="1" applyAlignment="1">
      <alignment horizontal="center"/>
    </xf>
    <xf numFmtId="0" fontId="45" fillId="0" borderId="0" xfId="0" applyFont="1" applyAlignment="1">
      <alignment/>
    </xf>
    <xf numFmtId="0" fontId="46" fillId="0" borderId="0" xfId="0" applyFont="1" applyAlignment="1">
      <alignment horizontal="center"/>
    </xf>
    <xf numFmtId="0" fontId="47" fillId="0" borderId="0" xfId="0" applyFont="1" applyAlignment="1">
      <alignment horizontal="center"/>
    </xf>
    <xf numFmtId="0" fontId="44" fillId="0" borderId="0" xfId="0" applyFont="1" applyBorder="1" applyAlignment="1">
      <alignment/>
    </xf>
    <xf numFmtId="0" fontId="48" fillId="0" borderId="0" xfId="0" applyFont="1" applyAlignment="1">
      <alignment horizontal="left" indent="1"/>
    </xf>
    <xf numFmtId="0" fontId="47" fillId="0" borderId="0" xfId="0" applyFont="1" applyAlignment="1">
      <alignment horizontal="left" indent="1"/>
    </xf>
    <xf numFmtId="175" fontId="44" fillId="0" borderId="0" xfId="0" applyNumberFormat="1" applyFont="1" applyBorder="1" applyAlignment="1">
      <alignment/>
    </xf>
    <xf numFmtId="0" fontId="47" fillId="0" borderId="0" xfId="0" applyFont="1" applyAlignment="1">
      <alignment horizontal="left" indent="2"/>
    </xf>
    <xf numFmtId="0" fontId="44" fillId="0" borderId="0" xfId="0" applyFont="1" applyAlignment="1">
      <alignment horizontal="left" indent="4"/>
    </xf>
    <xf numFmtId="175" fontId="44" fillId="0" borderId="0" xfId="0" applyNumberFormat="1" applyFont="1" applyAlignment="1">
      <alignment/>
    </xf>
    <xf numFmtId="0" fontId="47" fillId="0" borderId="0" xfId="0" applyFont="1" applyAlignment="1">
      <alignment horizontal="left" indent="6"/>
    </xf>
    <xf numFmtId="175" fontId="44" fillId="0" borderId="14" xfId="0" applyNumberFormat="1" applyFont="1" applyFill="1" applyBorder="1" applyAlignment="1">
      <alignment/>
    </xf>
    <xf numFmtId="175" fontId="44" fillId="0" borderId="0" xfId="0" applyNumberFormat="1" applyFont="1" applyFill="1" applyAlignment="1">
      <alignment/>
    </xf>
    <xf numFmtId="0" fontId="47" fillId="0" borderId="0" xfId="0" applyFont="1" applyAlignment="1">
      <alignment horizontal="left" indent="4"/>
    </xf>
    <xf numFmtId="226" fontId="44" fillId="0" borderId="0" xfId="0" applyNumberFormat="1" applyFont="1" applyFill="1" applyAlignment="1">
      <alignment horizontal="right"/>
    </xf>
    <xf numFmtId="175" fontId="45" fillId="0" borderId="15" xfId="0" applyNumberFormat="1" applyFont="1" applyFill="1" applyBorder="1" applyAlignment="1">
      <alignment/>
    </xf>
    <xf numFmtId="175" fontId="45" fillId="0" borderId="0" xfId="0" applyNumberFormat="1" applyFont="1" applyFill="1" applyBorder="1" applyAlignment="1">
      <alignment/>
    </xf>
    <xf numFmtId="0" fontId="44" fillId="0" borderId="0" xfId="0" applyFont="1" applyAlignment="1">
      <alignment horizontal="left" indent="3"/>
    </xf>
    <xf numFmtId="226" fontId="44" fillId="0" borderId="0" xfId="0" applyNumberFormat="1" applyFont="1" applyAlignment="1">
      <alignment/>
    </xf>
    <xf numFmtId="175" fontId="44" fillId="0" borderId="0" xfId="0" applyNumberFormat="1" applyFont="1" applyAlignment="1">
      <alignment horizontal="right"/>
    </xf>
    <xf numFmtId="0" fontId="44" fillId="0" borderId="0" xfId="0" applyFont="1" applyAlignment="1">
      <alignment horizontal="left" indent="2"/>
    </xf>
    <xf numFmtId="0" fontId="47" fillId="0" borderId="0" xfId="0" applyFont="1" applyAlignment="1">
      <alignment horizontal="left" indent="5"/>
    </xf>
    <xf numFmtId="175" fontId="44" fillId="0" borderId="14" xfId="0" applyNumberFormat="1" applyFont="1" applyBorder="1" applyAlignment="1">
      <alignment/>
    </xf>
    <xf numFmtId="0" fontId="44" fillId="0" borderId="0" xfId="0" applyFont="1" applyAlignment="1">
      <alignment horizontal="left" indent="5"/>
    </xf>
    <xf numFmtId="175" fontId="45" fillId="0" borderId="15" xfId="0" applyNumberFormat="1" applyFont="1" applyBorder="1" applyAlignment="1">
      <alignment/>
    </xf>
    <xf numFmtId="175" fontId="45" fillId="0" borderId="0" xfId="0" applyNumberFormat="1" applyFont="1" applyBorder="1" applyAlignment="1">
      <alignment/>
    </xf>
    <xf numFmtId="0" fontId="44" fillId="0" borderId="0" xfId="0" applyFont="1" applyAlignment="1">
      <alignment/>
    </xf>
    <xf numFmtId="175" fontId="45" fillId="0" borderId="0" xfId="0" applyNumberFormat="1" applyFont="1" applyAlignment="1">
      <alignment/>
    </xf>
    <xf numFmtId="0" fontId="46" fillId="0" borderId="0" xfId="0" applyFont="1" applyAlignment="1">
      <alignment/>
    </xf>
    <xf numFmtId="175" fontId="47" fillId="0" borderId="0" xfId="0" applyNumberFormat="1" applyFont="1" applyAlignment="1">
      <alignment/>
    </xf>
    <xf numFmtId="175" fontId="47" fillId="0" borderId="0" xfId="0" applyNumberFormat="1" applyFont="1" applyBorder="1" applyAlignment="1">
      <alignment/>
    </xf>
    <xf numFmtId="175" fontId="44" fillId="0" borderId="15" xfId="0" applyNumberFormat="1" applyFont="1" applyBorder="1" applyAlignment="1">
      <alignment/>
    </xf>
    <xf numFmtId="175" fontId="44" fillId="0" borderId="0" xfId="0" applyNumberFormat="1" applyFont="1" applyBorder="1" applyAlignment="1">
      <alignment horizontal="right"/>
    </xf>
    <xf numFmtId="0" fontId="46" fillId="0" borderId="0" xfId="0" applyFont="1" applyBorder="1" applyAlignment="1">
      <alignment/>
    </xf>
    <xf numFmtId="198" fontId="0" fillId="0" borderId="16" xfId="54" applyNumberFormat="1" applyBorder="1">
      <alignment/>
      <protection/>
    </xf>
    <xf numFmtId="0" fontId="45" fillId="0" borderId="0" xfId="0" applyFont="1" applyAlignment="1">
      <alignment horizontal="center" vertical="center"/>
    </xf>
    <xf numFmtId="0" fontId="45" fillId="0" borderId="17" xfId="0" applyFont="1" applyBorder="1" applyAlignment="1">
      <alignment horizontal="center"/>
    </xf>
    <xf numFmtId="0" fontId="6" fillId="0" borderId="0" xfId="0" applyFont="1" applyBorder="1" applyAlignment="1">
      <alignment horizontal="center"/>
    </xf>
    <xf numFmtId="0" fontId="9" fillId="0" borderId="0" xfId="0" applyFont="1" applyBorder="1" applyAlignment="1">
      <alignment horizontal="center"/>
    </xf>
    <xf numFmtId="0" fontId="21" fillId="0" borderId="0" xfId="0" applyFont="1" applyAlignment="1">
      <alignment horizontal="center"/>
    </xf>
    <xf numFmtId="0" fontId="24" fillId="0" borderId="0" xfId="0" applyFont="1" applyAlignment="1">
      <alignment horizontal="left" vertical="center"/>
    </xf>
    <xf numFmtId="0" fontId="25" fillId="0" borderId="0" xfId="0" applyFont="1" applyAlignment="1">
      <alignment horizontal="left" vertical="center"/>
    </xf>
    <xf numFmtId="0" fontId="22" fillId="0" borderId="0" xfId="0" applyFont="1" applyAlignment="1">
      <alignment horizontal="center"/>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Milliers 2" xfId="50"/>
    <cellStyle name="Currency" xfId="51"/>
    <cellStyle name="Currency [0]" xfId="52"/>
    <cellStyle name="Neutre" xfId="53"/>
    <cellStyle name="Normal 2" xfId="54"/>
    <cellStyle name="Normal 3" xfId="55"/>
    <cellStyle name="Normal_ETAFI97"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000000"/>
                </a:solidFill>
              </a:rPr>
              <a:t> Achats d'approvisionnement  consommés</a:t>
            </a:r>
          </a:p>
        </c:rich>
      </c:tx>
      <c:layout>
        <c:manualLayout>
          <c:xMode val="factor"/>
          <c:yMode val="factor"/>
          <c:x val="0.011"/>
          <c:y val="0.01"/>
        </c:manualLayout>
      </c:layout>
      <c:spPr>
        <a:noFill/>
        <a:ln>
          <a:noFill/>
        </a:ln>
      </c:spPr>
    </c:title>
    <c:plotArea>
      <c:layout>
        <c:manualLayout>
          <c:xMode val="edge"/>
          <c:yMode val="edge"/>
          <c:x val="0.01575"/>
          <c:y val="0.16525"/>
          <c:w val="0.96825"/>
          <c:h val="0.711"/>
        </c:manualLayout>
      </c:layout>
      <c:barChart>
        <c:barDir val="col"/>
        <c:grouping val="clustered"/>
        <c:varyColors val="0"/>
        <c:ser>
          <c:idx val="0"/>
          <c:order val="0"/>
          <c:tx>
            <c:strRef>
              <c:f>'7- Vari des cptes de gestion'!$A$16</c:f>
              <c:strCache>
                <c:ptCount val="1"/>
                <c:pt idx="0">
                  <c:v>*   Achats d'approvis consommés</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50" b="0" i="0" u="none" baseline="0">
                    <a:solidFill>
                      <a:srgbClr val="000000"/>
                    </a:solidFill>
                  </a:defRPr>
                </a:pPr>
              </a:p>
            </c:txPr>
            <c:dLblPos val="inBase"/>
            <c:showLegendKey val="0"/>
            <c:showVal val="1"/>
            <c:showBubbleSize val="0"/>
            <c:showCatName val="0"/>
            <c:showSerName val="0"/>
            <c:showPercent val="0"/>
          </c:dLbls>
          <c:cat>
            <c:strRef>
              <c:f>'7- Vari des cptes de gestion'!$B$12:$E$12</c:f>
              <c:strCache/>
            </c:strRef>
          </c:cat>
          <c:val>
            <c:numRef>
              <c:f>'7- Vari des cptes de gestion'!$B$16:$E$16</c:f>
              <c:numCache/>
            </c:numRef>
          </c:val>
        </c:ser>
        <c:axId val="37799745"/>
        <c:axId val="4653386"/>
      </c:barChart>
      <c:dateAx>
        <c:axId val="37799745"/>
        <c:scaling>
          <c:orientation val="minMax"/>
        </c:scaling>
        <c:axPos val="b"/>
        <c:delete val="0"/>
        <c:numFmt formatCode="yyyy" sourceLinked="0"/>
        <c:majorTickMark val="out"/>
        <c:minorTickMark val="none"/>
        <c:tickLblPos val="nextTo"/>
        <c:spPr>
          <a:ln w="3175">
            <a:solidFill>
              <a:srgbClr val="000000"/>
            </a:solidFill>
          </a:ln>
        </c:spPr>
        <c:crossAx val="4653386"/>
        <c:crosses val="autoZero"/>
        <c:auto val="0"/>
        <c:baseTimeUnit val="years"/>
        <c:majorUnit val="1"/>
        <c:majorTimeUnit val="years"/>
        <c:minorUnit val="1"/>
        <c:minorTimeUnit val="years"/>
        <c:noMultiLvlLbl val="0"/>
      </c:dateAx>
      <c:valAx>
        <c:axId val="4653386"/>
        <c:scaling>
          <c:orientation val="minMax"/>
        </c:scaling>
        <c:axPos val="l"/>
        <c:delete val="0"/>
        <c:numFmt formatCode="General" sourceLinked="1"/>
        <c:majorTickMark val="out"/>
        <c:minorTickMark val="none"/>
        <c:tickLblPos val="nextTo"/>
        <c:spPr>
          <a:ln w="3175">
            <a:solidFill>
              <a:srgbClr val="000000"/>
            </a:solidFill>
          </a:ln>
        </c:spPr>
        <c:crossAx val="37799745"/>
        <c:crossesAt val="1"/>
        <c:crossBetween val="between"/>
        <c:dispUnits/>
      </c:valAx>
      <c:spPr>
        <a:solidFill>
          <a:srgbClr val="C0C0C0"/>
        </a:solidFill>
        <a:ln w="12700">
          <a:solidFill>
            <a:srgbClr val="808080"/>
          </a:solidFill>
        </a:ln>
      </c:spPr>
    </c:plotArea>
    <c:legend>
      <c:legendPos val="b"/>
      <c:layout>
        <c:manualLayout>
          <c:xMode val="edge"/>
          <c:yMode val="edge"/>
          <c:x val="0.44775"/>
          <c:y val="0.937"/>
          <c:w val="0.258"/>
          <c:h val="0.058"/>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000000"/>
                </a:solidFill>
              </a:rPr>
              <a:t>Revenus</a:t>
            </a:r>
          </a:p>
        </c:rich>
      </c:tx>
      <c:layout>
        <c:manualLayout>
          <c:xMode val="factor"/>
          <c:yMode val="factor"/>
          <c:x val="0.00325"/>
          <c:y val="0"/>
        </c:manualLayout>
      </c:layout>
      <c:spPr>
        <a:noFill/>
        <a:ln>
          <a:noFill/>
        </a:ln>
      </c:spPr>
    </c:title>
    <c:plotArea>
      <c:layout>
        <c:manualLayout>
          <c:xMode val="edge"/>
          <c:yMode val="edge"/>
          <c:x val="0.01575"/>
          <c:y val="0.16075"/>
          <c:w val="0.9685"/>
          <c:h val="0.7465"/>
        </c:manualLayout>
      </c:layout>
      <c:barChart>
        <c:barDir val="col"/>
        <c:grouping val="clustered"/>
        <c:varyColors val="0"/>
        <c:ser>
          <c:idx val="0"/>
          <c:order val="0"/>
          <c:tx>
            <c:strRef>
              <c:f>'7- Vari des cptes de gestion'!$A$13</c:f>
              <c:strCache>
                <c:ptCount val="1"/>
                <c:pt idx="0">
                  <c:v>Revenus </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50" b="0" i="0" u="none" baseline="0">
                    <a:solidFill>
                      <a:srgbClr val="000000"/>
                    </a:solidFill>
                  </a:defRPr>
                </a:pPr>
              </a:p>
            </c:txPr>
            <c:dLblPos val="inBase"/>
            <c:showLegendKey val="0"/>
            <c:showVal val="1"/>
            <c:showBubbleSize val="0"/>
            <c:showCatName val="0"/>
            <c:showSerName val="0"/>
            <c:showPercent val="0"/>
          </c:dLbls>
          <c:cat>
            <c:strRef>
              <c:f>'7- Vari des cptes de gestion'!$B$12:$E$12</c:f>
              <c:strCache/>
            </c:strRef>
          </c:cat>
          <c:val>
            <c:numRef>
              <c:f>'7- Vari des cptes de gestion'!$B$13:$E$13</c:f>
              <c:numCache/>
            </c:numRef>
          </c:val>
        </c:ser>
        <c:axId val="41880475"/>
        <c:axId val="41379956"/>
      </c:barChart>
      <c:dateAx>
        <c:axId val="41880475"/>
        <c:scaling>
          <c:orientation val="minMax"/>
        </c:scaling>
        <c:axPos val="b"/>
        <c:delete val="0"/>
        <c:numFmt formatCode="yyyy" sourceLinked="0"/>
        <c:majorTickMark val="out"/>
        <c:minorTickMark val="none"/>
        <c:tickLblPos val="nextTo"/>
        <c:spPr>
          <a:ln w="3175">
            <a:solidFill>
              <a:srgbClr val="000000"/>
            </a:solidFill>
          </a:ln>
        </c:spPr>
        <c:crossAx val="41379956"/>
        <c:crosses val="autoZero"/>
        <c:auto val="0"/>
        <c:baseTimeUnit val="years"/>
        <c:majorUnit val="1"/>
        <c:majorTimeUnit val="years"/>
        <c:minorUnit val="1"/>
        <c:minorTimeUnit val="years"/>
        <c:noMultiLvlLbl val="0"/>
      </c:dateAx>
      <c:valAx>
        <c:axId val="41379956"/>
        <c:scaling>
          <c:orientation val="minMax"/>
        </c:scaling>
        <c:axPos val="l"/>
        <c:delete val="0"/>
        <c:numFmt formatCode="General" sourceLinked="1"/>
        <c:majorTickMark val="out"/>
        <c:minorTickMark val="none"/>
        <c:tickLblPos val="nextTo"/>
        <c:spPr>
          <a:ln w="3175">
            <a:solidFill>
              <a:srgbClr val="000000"/>
            </a:solidFill>
          </a:ln>
        </c:spPr>
        <c:crossAx val="41880475"/>
        <c:crossesAt val="1"/>
        <c:crossBetween val="between"/>
        <c:dispUnits/>
      </c:valAx>
      <c:spPr>
        <a:solidFill>
          <a:srgbClr val="C0C0C0"/>
        </a:solidFill>
        <a:ln w="12700">
          <a:solidFill>
            <a:srgbClr val="808080"/>
          </a:solidFill>
        </a:ln>
      </c:spPr>
    </c:plotArea>
    <c:legend>
      <c:legendPos val="b"/>
      <c:layout>
        <c:manualLayout>
          <c:xMode val="edge"/>
          <c:yMode val="edge"/>
          <c:x val="0.526"/>
          <c:y val="0.93475"/>
          <c:w val="0.0995"/>
          <c:h val="0.0577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5"/>
          <c:w val="0.9685"/>
          <c:h val="0.8795"/>
        </c:manualLayout>
      </c:layout>
      <c:lineChart>
        <c:grouping val="standard"/>
        <c:varyColors val="0"/>
        <c:ser>
          <c:idx val="1"/>
          <c:order val="0"/>
          <c:tx>
            <c:strRef>
              <c:f>'7- Vari des cptes de gestion'!$A$13</c:f>
              <c:strCache>
                <c:ptCount val="1"/>
                <c:pt idx="0">
                  <c:v>Revenus </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'7- Vari des cptes de gestion'!$B$12:$E$12</c:f>
              <c:strCache/>
            </c:strRef>
          </c:cat>
          <c:val>
            <c:numRef>
              <c:f>'7- Vari des cptes de gestion'!$B$13:$E$13</c:f>
              <c:numCache/>
            </c:numRef>
          </c:val>
          <c:smooth val="0"/>
        </c:ser>
        <c:ser>
          <c:idx val="0"/>
          <c:order val="1"/>
          <c:tx>
            <c:strRef>
              <c:f>'7- Vari des cptes de gestion'!$A$16</c:f>
              <c:strCache>
                <c:ptCount val="1"/>
                <c:pt idx="0">
                  <c:v>*   Achats d'approvis consommés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'7- Vari des cptes de gestion'!$B$12:$E$12</c:f>
              <c:strCache/>
            </c:strRef>
          </c:cat>
          <c:val>
            <c:numRef>
              <c:f>'7- Vari des cptes de gestion'!$B$16:$E$16</c:f>
              <c:numCache/>
            </c:numRef>
          </c:val>
          <c:smooth val="0"/>
        </c:ser>
        <c:marker val="1"/>
        <c:axId val="36875285"/>
        <c:axId val="63442110"/>
      </c:lineChart>
      <c:catAx>
        <c:axId val="36875285"/>
        <c:scaling>
          <c:orientation val="minMax"/>
        </c:scaling>
        <c:axPos val="b"/>
        <c:delete val="0"/>
        <c:numFmt formatCode="General" sourceLinked="1"/>
        <c:majorTickMark val="out"/>
        <c:minorTickMark val="none"/>
        <c:tickLblPos val="nextTo"/>
        <c:spPr>
          <a:ln w="3175">
            <a:solidFill>
              <a:srgbClr val="000000"/>
            </a:solidFill>
          </a:ln>
        </c:spPr>
        <c:crossAx val="63442110"/>
        <c:crosses val="autoZero"/>
        <c:auto val="0"/>
        <c:lblOffset val="100"/>
        <c:tickLblSkip val="1"/>
        <c:noMultiLvlLbl val="0"/>
      </c:catAx>
      <c:valAx>
        <c:axId val="63442110"/>
        <c:scaling>
          <c:orientation val="minMax"/>
        </c:scaling>
        <c:axPos val="l"/>
        <c:delete val="0"/>
        <c:numFmt formatCode="General" sourceLinked="1"/>
        <c:majorTickMark val="out"/>
        <c:minorTickMark val="none"/>
        <c:tickLblPos val="nextTo"/>
        <c:spPr>
          <a:ln w="3175">
            <a:solidFill>
              <a:srgbClr val="000000"/>
            </a:solidFill>
          </a:ln>
        </c:spPr>
        <c:crossAx val="36875285"/>
        <c:crossesAt val="1"/>
        <c:crossBetween val="between"/>
        <c:dispUnits/>
      </c:valAx>
      <c:spPr>
        <a:solidFill>
          <a:srgbClr val="C0C0C0"/>
        </a:solidFill>
        <a:ln w="12700">
          <a:solidFill>
            <a:srgbClr val="808080"/>
          </a:solidFill>
        </a:ln>
      </c:spPr>
    </c:plotArea>
    <c:legend>
      <c:legendPos val="b"/>
      <c:layout>
        <c:manualLayout>
          <c:xMode val="edge"/>
          <c:yMode val="edge"/>
          <c:x val="0.316"/>
          <c:y val="0.93225"/>
          <c:w val="0.50075"/>
          <c:h val="0.05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17"/>
          <c:w val="0.96775"/>
          <c:h val="0.84725"/>
        </c:manualLayout>
      </c:layout>
      <c:lineChart>
        <c:grouping val="standard"/>
        <c:varyColors val="0"/>
        <c:ser>
          <c:idx val="1"/>
          <c:order val="0"/>
          <c:tx>
            <c:strRef>
              <c:f>'3-bilan de synthèse'!$B$10</c:f>
              <c:strCache>
                <c:ptCount val="1"/>
                <c:pt idx="0">
                  <c:v>valeurs immobilisées nettes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'3-bilan de synthèse'!$C$9:$D$9</c:f>
              <c:strCache/>
            </c:strRef>
          </c:cat>
          <c:val>
            <c:numRef>
              <c:f>'3-bilan de synthèse'!$C$10:$D$10</c:f>
              <c:numCache/>
            </c:numRef>
          </c:val>
          <c:smooth val="0"/>
        </c:ser>
        <c:ser>
          <c:idx val="0"/>
          <c:order val="1"/>
          <c:tx>
            <c:strRef>
              <c:f>'3-bilan de synthèse'!$B$11</c:f>
              <c:strCache>
                <c:ptCount val="1"/>
                <c:pt idx="0">
                  <c:v>valeurs d'exploitation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'3-bilan de synthèse'!$C$9:$D$9</c:f>
              <c:strCache/>
            </c:strRef>
          </c:cat>
          <c:val>
            <c:numRef>
              <c:f>'3-bilan de synthèse'!$C$11:$D$11</c:f>
              <c:numCache/>
            </c:numRef>
          </c:val>
          <c:smooth val="0"/>
        </c:ser>
        <c:ser>
          <c:idx val="4"/>
          <c:order val="2"/>
          <c:tx>
            <c:strRef>
              <c:f>'3-bilan de synthèse'!$B$12</c:f>
              <c:strCache>
                <c:ptCount val="1"/>
                <c:pt idx="0">
                  <c:v>valeurs réalisables d'exploitation </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'3-bilan de synthèse'!$C$9:$D$9</c:f>
              <c:strCache/>
            </c:strRef>
          </c:cat>
          <c:val>
            <c:numRef>
              <c:f>'3-bilan de synthèse'!$C$12:$D$12</c:f>
              <c:numCache/>
            </c:numRef>
          </c:val>
          <c:smooth val="0"/>
        </c:ser>
        <c:marker val="1"/>
        <c:axId val="34108079"/>
        <c:axId val="38537256"/>
      </c:lineChart>
      <c:lineChart>
        <c:grouping val="standard"/>
        <c:varyColors val="0"/>
        <c:ser>
          <c:idx val="2"/>
          <c:order val="3"/>
          <c:tx>
            <c:strRef>
              <c:f>'3-bilan de synthèse'!$B$13</c:f>
              <c:strCache>
                <c:ptCount val="1"/>
                <c:pt idx="0">
                  <c:v>valeurs réalisables hors exploitation </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'3-bilan de synthèse'!$C$9:$D$9</c:f>
              <c:strCache/>
            </c:strRef>
          </c:cat>
          <c:val>
            <c:numRef>
              <c:f>'3-bilan de synthèse'!$C$13:$D$13</c:f>
              <c:numCache/>
            </c:numRef>
          </c:val>
          <c:smooth val="0"/>
        </c:ser>
        <c:ser>
          <c:idx val="3"/>
          <c:order val="4"/>
          <c:tx>
            <c:strRef>
              <c:f>'3-bilan de synthèse'!$B$14</c:f>
              <c:strCache>
                <c:ptCount val="1"/>
                <c:pt idx="0">
                  <c:v>valeurs disponibles</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'3-bilan de synthèse'!$C$9:$D$9</c:f>
              <c:strCache/>
            </c:strRef>
          </c:cat>
          <c:val>
            <c:numRef>
              <c:f>'3-bilan de synthèse'!$C$14:$D$14</c:f>
              <c:numCache/>
            </c:numRef>
          </c:val>
          <c:smooth val="0"/>
        </c:ser>
        <c:marker val="1"/>
        <c:axId val="11290985"/>
        <c:axId val="34510002"/>
      </c:lineChart>
      <c:catAx>
        <c:axId val="34108079"/>
        <c:scaling>
          <c:orientation val="minMax"/>
        </c:scaling>
        <c:axPos val="b"/>
        <c:delete val="0"/>
        <c:numFmt formatCode="General" sourceLinked="1"/>
        <c:majorTickMark val="cross"/>
        <c:minorTickMark val="none"/>
        <c:tickLblPos val="nextTo"/>
        <c:spPr>
          <a:ln w="3175">
            <a:solidFill>
              <a:srgbClr val="000000"/>
            </a:solidFill>
          </a:ln>
        </c:spPr>
        <c:crossAx val="38537256"/>
        <c:crosses val="autoZero"/>
        <c:auto val="0"/>
        <c:lblOffset val="100"/>
        <c:tickLblSkip val="1"/>
        <c:noMultiLvlLbl val="0"/>
      </c:catAx>
      <c:valAx>
        <c:axId val="38537256"/>
        <c:scaling>
          <c:orientation val="minMax"/>
        </c:scaling>
        <c:axPos val="l"/>
        <c:delete val="0"/>
        <c:numFmt formatCode="General" sourceLinked="1"/>
        <c:majorTickMark val="cross"/>
        <c:minorTickMark val="none"/>
        <c:tickLblPos val="nextTo"/>
        <c:spPr>
          <a:ln w="3175">
            <a:solidFill>
              <a:srgbClr val="000000"/>
            </a:solidFill>
          </a:ln>
        </c:spPr>
        <c:crossAx val="34108079"/>
        <c:crossesAt val="1"/>
        <c:crossBetween val="between"/>
        <c:dispUnits/>
      </c:valAx>
      <c:catAx>
        <c:axId val="11290985"/>
        <c:scaling>
          <c:orientation val="minMax"/>
        </c:scaling>
        <c:axPos val="b"/>
        <c:delete val="1"/>
        <c:majorTickMark val="out"/>
        <c:minorTickMark val="none"/>
        <c:tickLblPos val="nextTo"/>
        <c:crossAx val="34510002"/>
        <c:crosses val="autoZero"/>
        <c:auto val="0"/>
        <c:lblOffset val="100"/>
        <c:tickLblSkip val="1"/>
        <c:noMultiLvlLbl val="0"/>
      </c:catAx>
      <c:valAx>
        <c:axId val="34510002"/>
        <c:scaling>
          <c:orientation val="minMax"/>
        </c:scaling>
        <c:axPos val="l"/>
        <c:delete val="0"/>
        <c:numFmt formatCode="General" sourceLinked="1"/>
        <c:majorTickMark val="cross"/>
        <c:minorTickMark val="none"/>
        <c:tickLblPos val="nextTo"/>
        <c:spPr>
          <a:ln w="3175">
            <a:solidFill>
              <a:srgbClr val="000000"/>
            </a:solidFill>
          </a:ln>
        </c:spPr>
        <c:crossAx val="11290985"/>
        <c:crosses val="max"/>
        <c:crossBetween val="between"/>
        <c:dispUnits/>
      </c:valAx>
      <c:spPr>
        <a:solidFill>
          <a:srgbClr val="C0C0C0"/>
        </a:solidFill>
        <a:ln w="12700">
          <a:solidFill>
            <a:srgbClr val="808080"/>
          </a:solidFill>
        </a:ln>
      </c:spPr>
    </c:plotArea>
    <c:legend>
      <c:legendPos val="b"/>
      <c:layout>
        <c:manualLayout>
          <c:xMode val="edge"/>
          <c:yMode val="edge"/>
          <c:x val="0.103"/>
          <c:y val="0.883"/>
          <c:w val="0.791"/>
          <c:h val="0.11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17"/>
          <c:w val="0.968"/>
          <c:h val="0.846"/>
        </c:manualLayout>
      </c:layout>
      <c:lineChart>
        <c:grouping val="standard"/>
        <c:varyColors val="0"/>
        <c:ser>
          <c:idx val="1"/>
          <c:order val="0"/>
          <c:tx>
            <c:strRef>
              <c:f>'3-bilan de synthèse'!$E$10</c:f>
              <c:strCache>
                <c:ptCount val="1"/>
                <c:pt idx="0">
                  <c:v>Situation nettes réelle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'3-bilan de synthèse'!$F$9:$G$9</c:f>
              <c:strCache/>
            </c:strRef>
          </c:cat>
          <c:val>
            <c:numRef>
              <c:f>'3-bilan de synthèse'!$F$10:$G$10</c:f>
              <c:numCache/>
            </c:numRef>
          </c:val>
          <c:smooth val="0"/>
        </c:ser>
        <c:ser>
          <c:idx val="0"/>
          <c:order val="1"/>
          <c:tx>
            <c:strRef>
              <c:f>'3-bilan de synthèse'!$E$11</c:f>
              <c:strCache>
                <c:ptCount val="1"/>
                <c:pt idx="0">
                  <c:v>Provisions &amp; Dettes à long terme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'3-bilan de synthèse'!$F$9:$G$9</c:f>
              <c:strCache/>
            </c:strRef>
          </c:cat>
          <c:val>
            <c:numRef>
              <c:f>'3-bilan de synthèse'!$F$11:$G$11</c:f>
              <c:numCache/>
            </c:numRef>
          </c:val>
          <c:smooth val="0"/>
        </c:ser>
        <c:ser>
          <c:idx val="4"/>
          <c:order val="2"/>
          <c:tx>
            <c:strRef>
              <c:f>'3-bilan de synthèse'!$E$12</c:f>
              <c:strCache>
                <c:ptCount val="1"/>
                <c:pt idx="0">
                  <c:v>Dettes à court terme d'exploitation</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'3-bilan de synthèse'!$F$9:$G$9</c:f>
              <c:strCache/>
            </c:strRef>
          </c:cat>
          <c:val>
            <c:numRef>
              <c:f>'3-bilan de synthèse'!$F$12:$G$12</c:f>
              <c:numCache/>
            </c:numRef>
          </c:val>
          <c:smooth val="0"/>
        </c:ser>
        <c:marker val="1"/>
        <c:axId val="42154563"/>
        <c:axId val="43846748"/>
      </c:lineChart>
      <c:lineChart>
        <c:grouping val="standard"/>
        <c:varyColors val="0"/>
        <c:ser>
          <c:idx val="2"/>
          <c:order val="3"/>
          <c:tx>
            <c:strRef>
              <c:f>'3-bilan de synthèse'!$E$13</c:f>
              <c:strCache>
                <c:ptCount val="1"/>
                <c:pt idx="0">
                  <c:v>Dettes à court terme hors exploitation</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'3-bilan de synthèse'!$F$9:$G$9</c:f>
              <c:strCache/>
            </c:strRef>
          </c:cat>
          <c:val>
            <c:numRef>
              <c:f>'3-bilan de synthèse'!$F$13:$G$13</c:f>
              <c:numCache/>
            </c:numRef>
          </c:val>
          <c:smooth val="0"/>
        </c:ser>
        <c:ser>
          <c:idx val="3"/>
          <c:order val="4"/>
          <c:tx>
            <c:strRef>
              <c:f>'3-bilan de synthèse'!$E$14</c:f>
              <c:strCache>
                <c:ptCount val="1"/>
                <c:pt idx="0">
                  <c:v>Dettes à court terme bancaires</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'3-bilan de synthèse'!$F$9:$G$9</c:f>
              <c:strCache/>
            </c:strRef>
          </c:cat>
          <c:val>
            <c:numRef>
              <c:f>'3-bilan de synthèse'!$F$14:$G$14</c:f>
              <c:numCache/>
            </c:numRef>
          </c:val>
          <c:smooth val="0"/>
        </c:ser>
        <c:marker val="1"/>
        <c:axId val="59076413"/>
        <c:axId val="61925670"/>
      </c:lineChart>
      <c:catAx>
        <c:axId val="42154563"/>
        <c:scaling>
          <c:orientation val="minMax"/>
        </c:scaling>
        <c:axPos val="b"/>
        <c:delete val="0"/>
        <c:numFmt formatCode="General" sourceLinked="1"/>
        <c:majorTickMark val="cross"/>
        <c:minorTickMark val="none"/>
        <c:tickLblPos val="nextTo"/>
        <c:spPr>
          <a:ln w="3175">
            <a:solidFill>
              <a:srgbClr val="000000"/>
            </a:solidFill>
          </a:ln>
        </c:spPr>
        <c:crossAx val="43846748"/>
        <c:crosses val="autoZero"/>
        <c:auto val="0"/>
        <c:lblOffset val="100"/>
        <c:tickLblSkip val="1"/>
        <c:noMultiLvlLbl val="0"/>
      </c:catAx>
      <c:valAx>
        <c:axId val="43846748"/>
        <c:scaling>
          <c:orientation val="minMax"/>
        </c:scaling>
        <c:axPos val="l"/>
        <c:delete val="0"/>
        <c:numFmt formatCode="General" sourceLinked="1"/>
        <c:majorTickMark val="cross"/>
        <c:minorTickMark val="none"/>
        <c:tickLblPos val="nextTo"/>
        <c:spPr>
          <a:ln w="3175">
            <a:solidFill>
              <a:srgbClr val="000000"/>
            </a:solidFill>
          </a:ln>
        </c:spPr>
        <c:crossAx val="42154563"/>
        <c:crossesAt val="1"/>
        <c:crossBetween val="between"/>
        <c:dispUnits/>
      </c:valAx>
      <c:catAx>
        <c:axId val="59076413"/>
        <c:scaling>
          <c:orientation val="minMax"/>
        </c:scaling>
        <c:axPos val="b"/>
        <c:delete val="1"/>
        <c:majorTickMark val="out"/>
        <c:minorTickMark val="none"/>
        <c:tickLblPos val="nextTo"/>
        <c:crossAx val="61925670"/>
        <c:crosses val="autoZero"/>
        <c:auto val="0"/>
        <c:lblOffset val="100"/>
        <c:tickLblSkip val="1"/>
        <c:noMultiLvlLbl val="0"/>
      </c:catAx>
      <c:valAx>
        <c:axId val="61925670"/>
        <c:scaling>
          <c:orientation val="minMax"/>
        </c:scaling>
        <c:axPos val="l"/>
        <c:delete val="0"/>
        <c:numFmt formatCode="General" sourceLinked="1"/>
        <c:majorTickMark val="cross"/>
        <c:minorTickMark val="none"/>
        <c:tickLblPos val="nextTo"/>
        <c:spPr>
          <a:ln w="3175">
            <a:solidFill>
              <a:srgbClr val="000000"/>
            </a:solidFill>
          </a:ln>
        </c:spPr>
        <c:crossAx val="59076413"/>
        <c:crosses val="max"/>
        <c:crossBetween val="between"/>
        <c:dispUnits/>
      </c:valAx>
      <c:spPr>
        <a:solidFill>
          <a:srgbClr val="C0C0C0"/>
        </a:solidFill>
        <a:ln w="12700">
          <a:solidFill>
            <a:srgbClr val="808080"/>
          </a:solidFill>
        </a:ln>
      </c:spPr>
    </c:plotArea>
    <c:legend>
      <c:legendPos val="b"/>
      <c:layout>
        <c:manualLayout>
          <c:xMode val="edge"/>
          <c:yMode val="edge"/>
          <c:x val="0.09"/>
          <c:y val="0.88175"/>
          <c:w val="0.82025"/>
          <c:h val="0.111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19050</xdr:rowOff>
    </xdr:from>
    <xdr:to>
      <xdr:col>7</xdr:col>
      <xdr:colOff>9525</xdr:colOff>
      <xdr:row>71</xdr:row>
      <xdr:rowOff>66675</xdr:rowOff>
    </xdr:to>
    <xdr:graphicFrame>
      <xdr:nvGraphicFramePr>
        <xdr:cNvPr id="1" name="Chart 2"/>
        <xdr:cNvGraphicFramePr/>
      </xdr:nvGraphicFramePr>
      <xdr:xfrm>
        <a:off x="57150" y="9820275"/>
        <a:ext cx="6105525" cy="3124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19050</xdr:rowOff>
    </xdr:from>
    <xdr:to>
      <xdr:col>6</xdr:col>
      <xdr:colOff>723900</xdr:colOff>
      <xdr:row>49</xdr:row>
      <xdr:rowOff>76200</xdr:rowOff>
    </xdr:to>
    <xdr:graphicFrame>
      <xdr:nvGraphicFramePr>
        <xdr:cNvPr id="2" name="Chart 3"/>
        <xdr:cNvGraphicFramePr/>
      </xdr:nvGraphicFramePr>
      <xdr:xfrm>
        <a:off x="0" y="6219825"/>
        <a:ext cx="6115050" cy="31718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73</xdr:row>
      <xdr:rowOff>0</xdr:rowOff>
    </xdr:from>
    <xdr:to>
      <xdr:col>6</xdr:col>
      <xdr:colOff>723900</xdr:colOff>
      <xdr:row>92</xdr:row>
      <xdr:rowOff>66675</xdr:rowOff>
    </xdr:to>
    <xdr:graphicFrame>
      <xdr:nvGraphicFramePr>
        <xdr:cNvPr id="3" name="Chart 4"/>
        <xdr:cNvGraphicFramePr/>
      </xdr:nvGraphicFramePr>
      <xdr:xfrm>
        <a:off x="0" y="13201650"/>
        <a:ext cx="6115050" cy="3143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28</xdr:row>
      <xdr:rowOff>85725</xdr:rowOff>
    </xdr:from>
    <xdr:to>
      <xdr:col>5</xdr:col>
      <xdr:colOff>0</xdr:colOff>
      <xdr:row>57</xdr:row>
      <xdr:rowOff>9525</xdr:rowOff>
    </xdr:to>
    <xdr:graphicFrame>
      <xdr:nvGraphicFramePr>
        <xdr:cNvPr id="1" name="Chart 2"/>
        <xdr:cNvGraphicFramePr/>
      </xdr:nvGraphicFramePr>
      <xdr:xfrm>
        <a:off x="200025" y="5334000"/>
        <a:ext cx="6010275" cy="4638675"/>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59</xdr:row>
      <xdr:rowOff>104775</xdr:rowOff>
    </xdr:from>
    <xdr:to>
      <xdr:col>5</xdr:col>
      <xdr:colOff>0</xdr:colOff>
      <xdr:row>87</xdr:row>
      <xdr:rowOff>142875</xdr:rowOff>
    </xdr:to>
    <xdr:graphicFrame>
      <xdr:nvGraphicFramePr>
        <xdr:cNvPr id="2" name="Chart 3"/>
        <xdr:cNvGraphicFramePr/>
      </xdr:nvGraphicFramePr>
      <xdr:xfrm>
        <a:off x="190500" y="10467975"/>
        <a:ext cx="6019800" cy="45720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chedules%20%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10"/>
      <sheetName val="A20"/>
      <sheetName val="SIG"/>
      <sheetName val="B"/>
      <sheetName val="C"/>
      <sheetName val="D"/>
      <sheetName val="E"/>
      <sheetName val="F"/>
      <sheetName val="Balance prov_2009"/>
      <sheetName val="H"/>
      <sheetName val="J"/>
      <sheetName val="K"/>
      <sheetName val="M"/>
      <sheetName val="N"/>
      <sheetName val="P"/>
      <sheetName val="Q"/>
      <sheetName val="X100"/>
      <sheetName val="X200"/>
      <sheetName val="X300"/>
      <sheetName val="X400"/>
      <sheetName val="X500"/>
      <sheetName val="X600"/>
      <sheetName val="Y100"/>
      <sheetName val="Y400"/>
      <sheetName val="Y500"/>
      <sheetName val="Feuil1"/>
      <sheetName val="Feuil2"/>
    </sheetNames>
    <sheetDataSet>
      <sheetData sheetId="3">
        <row r="24">
          <cell r="F24">
            <v>906920.95</v>
          </cell>
        </row>
      </sheetData>
      <sheetData sheetId="4">
        <row r="22">
          <cell r="F22">
            <v>5897719.328000001</v>
          </cell>
        </row>
        <row r="24">
          <cell r="F24">
            <v>-3645602.7860000003</v>
          </cell>
        </row>
      </sheetData>
      <sheetData sheetId="5">
        <row r="24">
          <cell r="F24">
            <v>1737013.899</v>
          </cell>
        </row>
      </sheetData>
      <sheetData sheetId="6">
        <row r="28">
          <cell r="F28">
            <v>2457723.3400000003</v>
          </cell>
        </row>
        <row r="30">
          <cell r="F30">
            <v>-188184.427</v>
          </cell>
        </row>
      </sheetData>
      <sheetData sheetId="7">
        <row r="30">
          <cell r="F30">
            <v>2173708.997</v>
          </cell>
        </row>
      </sheetData>
      <sheetData sheetId="8">
        <row r="705">
          <cell r="K705">
            <v>554517.251</v>
          </cell>
        </row>
      </sheetData>
      <sheetData sheetId="9">
        <row r="26">
          <cell r="F26">
            <v>1086995.5040000002</v>
          </cell>
        </row>
      </sheetData>
      <sheetData sheetId="10">
        <row r="22">
          <cell r="F22">
            <v>56949.618</v>
          </cell>
        </row>
      </sheetData>
      <sheetData sheetId="11">
        <row r="15">
          <cell r="F15">
            <v>930000</v>
          </cell>
        </row>
        <row r="16">
          <cell r="F16">
            <v>60000</v>
          </cell>
        </row>
        <row r="17">
          <cell r="F17">
            <v>2179500</v>
          </cell>
        </row>
        <row r="18">
          <cell r="F18">
            <v>2359500</v>
          </cell>
        </row>
        <row r="19">
          <cell r="F19">
            <v>1508.685</v>
          </cell>
        </row>
      </sheetData>
      <sheetData sheetId="12">
        <row r="17">
          <cell r="F17">
            <v>383246.343</v>
          </cell>
        </row>
      </sheetData>
      <sheetData sheetId="13">
        <row r="28">
          <cell r="F28">
            <v>2007517.7280000004</v>
          </cell>
        </row>
      </sheetData>
      <sheetData sheetId="14">
        <row r="29">
          <cell r="F29">
            <v>720169.4770000001</v>
          </cell>
        </row>
      </sheetData>
      <sheetData sheetId="15">
        <row r="18">
          <cell r="F18">
            <v>519142.628</v>
          </cell>
        </row>
      </sheetData>
      <sheetData sheetId="16">
        <row r="21">
          <cell r="F21">
            <v>3585068.3249999997</v>
          </cell>
        </row>
      </sheetData>
      <sheetData sheetId="17">
        <row r="25">
          <cell r="F25">
            <v>577659.552</v>
          </cell>
        </row>
      </sheetData>
      <sheetData sheetId="18">
        <row r="25">
          <cell r="F25">
            <v>129646.636</v>
          </cell>
        </row>
      </sheetData>
      <sheetData sheetId="19">
        <row r="39">
          <cell r="F39">
            <v>2279196.89</v>
          </cell>
        </row>
      </sheetData>
      <sheetData sheetId="20">
        <row r="24">
          <cell r="F24">
            <v>66870.909</v>
          </cell>
        </row>
      </sheetData>
      <sheetData sheetId="21">
        <row r="19">
          <cell r="F19">
            <v>66054.167</v>
          </cell>
        </row>
      </sheetData>
      <sheetData sheetId="22">
        <row r="20">
          <cell r="F20">
            <v>7392943.574</v>
          </cell>
        </row>
      </sheetData>
      <sheetData sheetId="23">
        <row r="22">
          <cell r="F22">
            <v>75231.706</v>
          </cell>
        </row>
      </sheetData>
      <sheetData sheetId="24">
        <row r="23">
          <cell r="F23">
            <v>4463.268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49"/>
  <sheetViews>
    <sheetView view="pageBreakPreview" zoomScaleSheetLayoutView="100" zoomScalePageLayoutView="0" workbookViewId="0" topLeftCell="A58">
      <selection activeCell="A23" sqref="A23"/>
    </sheetView>
  </sheetViews>
  <sheetFormatPr defaultColWidth="11.421875" defaultRowHeight="12.75"/>
  <cols>
    <col min="1" max="1" width="48.8515625" style="126" customWidth="1"/>
    <col min="2" max="2" width="11.57421875" style="126" bestFit="1" customWidth="1"/>
    <col min="3" max="3" width="12.7109375" style="126" bestFit="1" customWidth="1"/>
    <col min="4" max="4" width="1.421875" style="126" customWidth="1"/>
    <col min="5" max="5" width="12.7109375" style="126" bestFit="1" customWidth="1"/>
    <col min="6" max="6" width="14.8515625" style="126" customWidth="1"/>
    <col min="7" max="16384" width="11.421875" style="126" customWidth="1"/>
  </cols>
  <sheetData>
    <row r="1" ht="13.5">
      <c r="A1" s="125" t="s">
        <v>200</v>
      </c>
    </row>
    <row r="2" ht="13.5">
      <c r="A2" s="125" t="s">
        <v>201</v>
      </c>
    </row>
    <row r="3" ht="13.5">
      <c r="A3" s="125"/>
    </row>
    <row r="4" ht="19.5" customHeight="1"/>
    <row r="5" spans="1:5" ht="12.75">
      <c r="A5" s="163" t="s">
        <v>189</v>
      </c>
      <c r="B5" s="163"/>
      <c r="C5" s="163"/>
      <c r="D5" s="163"/>
      <c r="E5" s="163"/>
    </row>
    <row r="6" ht="4.5" customHeight="1"/>
    <row r="7" spans="1:5" ht="12.75">
      <c r="A7" s="163" t="s">
        <v>190</v>
      </c>
      <c r="B7" s="163"/>
      <c r="C7" s="163"/>
      <c r="D7" s="163"/>
      <c r="E7" s="163"/>
    </row>
    <row r="8" ht="5.25" customHeight="1"/>
    <row r="9" spans="1:5" ht="12.75">
      <c r="A9" s="163" t="s">
        <v>202</v>
      </c>
      <c r="B9" s="163"/>
      <c r="C9" s="163"/>
      <c r="D9" s="163"/>
      <c r="E9" s="163"/>
    </row>
    <row r="10" spans="1:5" ht="12.75">
      <c r="A10" s="127"/>
      <c r="B10" s="127"/>
      <c r="C10" s="127"/>
      <c r="D10" s="127"/>
      <c r="E10" s="127"/>
    </row>
    <row r="11" ht="12.75">
      <c r="B11" s="127"/>
    </row>
    <row r="12" spans="1:2" ht="12.75">
      <c r="A12" s="128" t="s">
        <v>191</v>
      </c>
      <c r="B12" s="127"/>
    </row>
    <row r="13" spans="2:5" ht="14.25" customHeight="1" thickBot="1">
      <c r="B13" s="129" t="s">
        <v>23</v>
      </c>
      <c r="C13" s="164" t="s">
        <v>203</v>
      </c>
      <c r="D13" s="164"/>
      <c r="E13" s="164"/>
    </row>
    <row r="14" spans="2:5" ht="17.25" customHeight="1">
      <c r="B14" s="127"/>
      <c r="C14" s="130">
        <v>2009</v>
      </c>
      <c r="D14" s="130"/>
      <c r="E14" s="130">
        <v>2008</v>
      </c>
    </row>
    <row r="15" spans="2:4" ht="12.75" customHeight="1">
      <c r="B15" s="127"/>
      <c r="D15" s="131"/>
    </row>
    <row r="16" spans="1:4" ht="12.75" customHeight="1">
      <c r="A16" s="132" t="s">
        <v>204</v>
      </c>
      <c r="B16" s="127"/>
      <c r="D16" s="131"/>
    </row>
    <row r="17" spans="1:4" ht="12.75" customHeight="1">
      <c r="A17" s="133"/>
      <c r="B17" s="127"/>
      <c r="D17" s="134"/>
    </row>
    <row r="18" spans="1:4" ht="12.75" customHeight="1">
      <c r="A18" s="135" t="s">
        <v>192</v>
      </c>
      <c r="B18" s="127"/>
      <c r="D18" s="134"/>
    </row>
    <row r="19" spans="1:4" ht="8.25" customHeight="1">
      <c r="A19" s="135"/>
      <c r="B19" s="127"/>
      <c r="D19" s="134"/>
    </row>
    <row r="20" spans="1:5" ht="18.75" customHeight="1">
      <c r="A20" s="136" t="s">
        <v>205</v>
      </c>
      <c r="B20" s="127"/>
      <c r="C20" s="137">
        <f>+'[1]C'!F22</f>
        <v>5897719.328000001</v>
      </c>
      <c r="D20" s="134"/>
      <c r="E20" s="137">
        <v>4434530</v>
      </c>
    </row>
    <row r="21" spans="1:7" ht="18" customHeight="1">
      <c r="A21" s="136" t="s">
        <v>206</v>
      </c>
      <c r="B21" s="127"/>
      <c r="C21" s="137">
        <f>+'[1]C'!F24</f>
        <v>-3645602.7860000003</v>
      </c>
      <c r="D21" s="134"/>
      <c r="E21" s="137">
        <v>-3550339</v>
      </c>
      <c r="G21" s="137">
        <f>+C21-E21</f>
        <v>-95263.78600000031</v>
      </c>
    </row>
    <row r="22" spans="2:5" ht="4.5" customHeight="1">
      <c r="B22" s="127"/>
      <c r="C22" s="137"/>
      <c r="D22" s="134"/>
      <c r="E22" s="137"/>
    </row>
    <row r="23" spans="1:5" ht="12.75" customHeight="1">
      <c r="A23" s="138"/>
      <c r="B23" s="127" t="s">
        <v>207</v>
      </c>
      <c r="C23" s="139">
        <f>SUM(C20:C21)</f>
        <v>2252116.5420000004</v>
      </c>
      <c r="D23" s="134"/>
      <c r="E23" s="139">
        <f>SUM(E20:E21)</f>
        <v>884191</v>
      </c>
    </row>
    <row r="24" spans="2:5" ht="16.5" customHeight="1">
      <c r="B24" s="127"/>
      <c r="C24" s="140"/>
      <c r="D24" s="134"/>
      <c r="E24" s="140"/>
    </row>
    <row r="25" spans="1:5" ht="12.75" customHeight="1">
      <c r="A25" s="136" t="s">
        <v>5</v>
      </c>
      <c r="B25" s="127" t="s">
        <v>208</v>
      </c>
      <c r="C25" s="140">
        <f>+'[1]D'!F24</f>
        <v>1737013.899</v>
      </c>
      <c r="D25" s="140"/>
      <c r="E25" s="140">
        <v>1777014</v>
      </c>
    </row>
    <row r="26" spans="2:5" ht="13.5" customHeight="1">
      <c r="B26" s="127"/>
      <c r="C26" s="140"/>
      <c r="D26" s="134"/>
      <c r="E26" s="140"/>
    </row>
    <row r="27" spans="1:5" ht="13.5" customHeight="1">
      <c r="A27" s="141" t="s">
        <v>48</v>
      </c>
      <c r="B27" s="127"/>
      <c r="C27" s="139">
        <f>SUM(C23:C25)</f>
        <v>3989130.4410000006</v>
      </c>
      <c r="D27" s="134"/>
      <c r="E27" s="139">
        <v>2661205</v>
      </c>
    </row>
    <row r="28" spans="1:5" ht="13.5" customHeight="1">
      <c r="A28" s="141"/>
      <c r="C28" s="140"/>
      <c r="D28" s="134"/>
      <c r="E28" s="140"/>
    </row>
    <row r="29" spans="1:5" ht="13.5" customHeight="1">
      <c r="A29" s="136" t="s">
        <v>29</v>
      </c>
      <c r="B29" s="127"/>
      <c r="C29" s="142" t="s">
        <v>209</v>
      </c>
      <c r="D29" s="142"/>
      <c r="E29" s="142" t="s">
        <v>209</v>
      </c>
    </row>
    <row r="30" spans="1:5" ht="13.5" customHeight="1">
      <c r="A30" s="136"/>
      <c r="B30" s="127"/>
      <c r="C30" s="140"/>
      <c r="D30" s="134"/>
      <c r="E30" s="140"/>
    </row>
    <row r="31" spans="1:5" ht="12.75" customHeight="1">
      <c r="A31" s="141" t="s">
        <v>193</v>
      </c>
      <c r="B31" s="127"/>
      <c r="C31" s="139">
        <f>C27</f>
        <v>3989130.4410000006</v>
      </c>
      <c r="D31" s="134"/>
      <c r="E31" s="139">
        <f>+E27</f>
        <v>2661205</v>
      </c>
    </row>
    <row r="32" spans="2:5" ht="15.75" customHeight="1">
      <c r="B32" s="127"/>
      <c r="C32" s="140"/>
      <c r="D32" s="134"/>
      <c r="E32" s="140"/>
    </row>
    <row r="33" spans="1:5" ht="12.75">
      <c r="A33" s="132" t="s">
        <v>210</v>
      </c>
      <c r="B33" s="127"/>
      <c r="C33" s="140"/>
      <c r="D33" s="134"/>
      <c r="E33" s="140"/>
    </row>
    <row r="34" spans="2:5" ht="9.75" customHeight="1">
      <c r="B34" s="127"/>
      <c r="C34" s="140"/>
      <c r="D34" s="134"/>
      <c r="E34" s="140"/>
    </row>
    <row r="35" spans="1:5" ht="15.75" customHeight="1">
      <c r="A35" s="136" t="s">
        <v>37</v>
      </c>
      <c r="C35" s="140">
        <f>+'[1]F'!F30</f>
        <v>2173708.997</v>
      </c>
      <c r="D35" s="140"/>
      <c r="E35" s="140">
        <v>1782047</v>
      </c>
    </row>
    <row r="36" spans="1:5" ht="12.75" customHeight="1">
      <c r="A36" s="136" t="s">
        <v>147</v>
      </c>
      <c r="B36" s="127"/>
      <c r="C36" s="142" t="s">
        <v>209</v>
      </c>
      <c r="D36" s="140"/>
      <c r="E36" s="140"/>
    </row>
    <row r="37" spans="1:5" ht="4.5" customHeight="1">
      <c r="A37" s="136"/>
      <c r="B37" s="127"/>
      <c r="C37" s="140"/>
      <c r="D37" s="134"/>
      <c r="E37" s="140"/>
    </row>
    <row r="38" spans="1:5" ht="15.75" customHeight="1">
      <c r="A38" s="136"/>
      <c r="B38" s="127" t="s">
        <v>211</v>
      </c>
      <c r="C38" s="139">
        <f>SUM(C35:C36)</f>
        <v>2173708.997</v>
      </c>
      <c r="D38" s="134"/>
      <c r="E38" s="139">
        <f>SUM(E35)</f>
        <v>1782047</v>
      </c>
    </row>
    <row r="39" spans="1:5" ht="12.75">
      <c r="A39" s="136"/>
      <c r="B39" s="127"/>
      <c r="C39" s="140"/>
      <c r="D39" s="134"/>
      <c r="E39" s="140"/>
    </row>
    <row r="40" spans="1:9" ht="18" customHeight="1">
      <c r="A40" s="136" t="s">
        <v>18</v>
      </c>
      <c r="C40" s="140">
        <f>+'[1]E'!F28</f>
        <v>2457723.3400000003</v>
      </c>
      <c r="D40" s="140"/>
      <c r="E40" s="140">
        <v>2057599</v>
      </c>
      <c r="I40" s="137"/>
    </row>
    <row r="41" spans="1:5" ht="18" customHeight="1">
      <c r="A41" s="136" t="s">
        <v>147</v>
      </c>
      <c r="B41" s="127"/>
      <c r="C41" s="140">
        <f>+'[1]E'!F30</f>
        <v>-188184.427</v>
      </c>
      <c r="D41" s="140"/>
      <c r="E41" s="140">
        <v>-189770</v>
      </c>
    </row>
    <row r="42" spans="1:5" ht="4.5" customHeight="1">
      <c r="A42" s="136"/>
      <c r="B42" s="127"/>
      <c r="C42" s="140"/>
      <c r="D42" s="134"/>
      <c r="E42" s="140"/>
    </row>
    <row r="43" spans="2:9" ht="15" customHeight="1">
      <c r="B43" s="127" t="s">
        <v>212</v>
      </c>
      <c r="C43" s="139">
        <f>SUM(C40:C41)</f>
        <v>2269538.913</v>
      </c>
      <c r="D43" s="134"/>
      <c r="E43" s="139">
        <f>SUM(E40:E42)</f>
        <v>1867829</v>
      </c>
      <c r="I43" s="137"/>
    </row>
    <row r="44" spans="2:5" ht="15" customHeight="1">
      <c r="B44" s="127"/>
      <c r="C44" s="140"/>
      <c r="D44" s="134"/>
      <c r="E44" s="140"/>
    </row>
    <row r="45" spans="1:5" ht="19.5" customHeight="1">
      <c r="A45" s="136" t="s">
        <v>213</v>
      </c>
      <c r="B45" s="127" t="s">
        <v>211</v>
      </c>
      <c r="C45" s="140">
        <v>299353</v>
      </c>
      <c r="D45" s="134"/>
      <c r="E45" s="140">
        <v>17346</v>
      </c>
    </row>
    <row r="46" spans="1:5" ht="19.5" customHeight="1">
      <c r="A46" s="136" t="s">
        <v>214</v>
      </c>
      <c r="B46" s="127" t="s">
        <v>211</v>
      </c>
      <c r="C46" s="140">
        <f>+'[1]H'!F26-C45</f>
        <v>787642.5040000002</v>
      </c>
      <c r="D46" s="140"/>
      <c r="E46" s="140">
        <v>1153746</v>
      </c>
    </row>
    <row r="47" spans="1:5" ht="19.5" customHeight="1">
      <c r="A47" s="136" t="s">
        <v>215</v>
      </c>
      <c r="B47" s="127" t="s">
        <v>216</v>
      </c>
      <c r="C47" s="140">
        <f>+'[1]J'!F22</f>
        <v>56949.618</v>
      </c>
      <c r="D47" s="140"/>
      <c r="E47" s="140">
        <v>55328</v>
      </c>
    </row>
    <row r="48" spans="1:5" ht="19.5" customHeight="1">
      <c r="A48" s="136" t="s">
        <v>217</v>
      </c>
      <c r="B48" s="127" t="s">
        <v>218</v>
      </c>
      <c r="C48" s="140">
        <f>+'[1]B'!F24</f>
        <v>906920.95</v>
      </c>
      <c r="D48" s="140"/>
      <c r="E48" s="140">
        <v>1376910</v>
      </c>
    </row>
    <row r="49" spans="2:5" ht="12.75">
      <c r="B49" s="127"/>
      <c r="C49" s="140"/>
      <c r="D49" s="134"/>
      <c r="E49" s="140"/>
    </row>
    <row r="50" spans="1:5" ht="12.75">
      <c r="A50" s="130" t="s">
        <v>194</v>
      </c>
      <c r="B50" s="127"/>
      <c r="C50" s="139">
        <f>C38+C43+C45+C46+C47+C48</f>
        <v>6494113.982000001</v>
      </c>
      <c r="D50" s="134"/>
      <c r="E50" s="139">
        <f>SUM(E45:E48)+E38+E43</f>
        <v>6253206</v>
      </c>
    </row>
    <row r="51" spans="1:5" ht="12.75">
      <c r="A51" s="130"/>
      <c r="B51" s="127"/>
      <c r="C51" s="140"/>
      <c r="D51" s="134"/>
      <c r="E51" s="140"/>
    </row>
    <row r="52" spans="1:5" ht="6.75" customHeight="1">
      <c r="A52" s="130"/>
      <c r="B52" s="127"/>
      <c r="C52" s="140"/>
      <c r="D52" s="134"/>
      <c r="E52" s="140"/>
    </row>
    <row r="53" spans="1:5" ht="13.5" thickBot="1">
      <c r="A53" s="129" t="s">
        <v>195</v>
      </c>
      <c r="B53" s="127"/>
      <c r="C53" s="143">
        <f>C31+C50</f>
        <v>10483244.423</v>
      </c>
      <c r="D53" s="134"/>
      <c r="E53" s="143">
        <f>+E31+E50</f>
        <v>8914411</v>
      </c>
    </row>
    <row r="54" spans="1:5" ht="13.5" thickTop="1">
      <c r="A54" s="129"/>
      <c r="B54" s="127"/>
      <c r="C54" s="144"/>
      <c r="D54" s="134"/>
      <c r="E54" s="144"/>
    </row>
    <row r="55" ht="13.5">
      <c r="A55" s="125" t="s">
        <v>200</v>
      </c>
    </row>
    <row r="56" ht="13.5">
      <c r="A56" s="125" t="s">
        <v>201</v>
      </c>
    </row>
    <row r="57" ht="18.75" customHeight="1">
      <c r="A57" s="125"/>
    </row>
    <row r="59" spans="1:5" ht="12.75">
      <c r="A59" s="163" t="s">
        <v>189</v>
      </c>
      <c r="B59" s="163"/>
      <c r="C59" s="163"/>
      <c r="D59" s="163"/>
      <c r="E59" s="163"/>
    </row>
    <row r="60" ht="6.75" customHeight="1"/>
    <row r="61" spans="1:5" ht="12.75">
      <c r="A61" s="163" t="s">
        <v>190</v>
      </c>
      <c r="B61" s="163"/>
      <c r="C61" s="163"/>
      <c r="D61" s="163"/>
      <c r="E61" s="163"/>
    </row>
    <row r="62" ht="4.5" customHeight="1"/>
    <row r="63" spans="1:5" ht="12.75">
      <c r="A63" s="163" t="s">
        <v>202</v>
      </c>
      <c r="B63" s="163"/>
      <c r="C63" s="163"/>
      <c r="D63" s="163"/>
      <c r="E63" s="163"/>
    </row>
    <row r="64" spans="1:9" ht="12.75">
      <c r="A64" s="127"/>
      <c r="B64" s="127"/>
      <c r="C64" s="127"/>
      <c r="D64" s="127"/>
      <c r="E64" s="127"/>
      <c r="I64" s="126" t="s">
        <v>0</v>
      </c>
    </row>
    <row r="65" spans="1:5" ht="12.75">
      <c r="A65" s="127"/>
      <c r="B65" s="127"/>
      <c r="C65" s="127"/>
      <c r="D65" s="127"/>
      <c r="E65" s="127"/>
    </row>
    <row r="66" spans="1:5" ht="12.75">
      <c r="A66" s="127"/>
      <c r="B66" s="127"/>
      <c r="C66" s="127"/>
      <c r="D66" s="127"/>
      <c r="E66" s="127"/>
    </row>
    <row r="67" spans="1:2" ht="12.75">
      <c r="A67" s="128" t="s">
        <v>36</v>
      </c>
      <c r="B67" s="127"/>
    </row>
    <row r="68" spans="2:5" ht="13.5" thickBot="1">
      <c r="B68" s="129" t="s">
        <v>23</v>
      </c>
      <c r="C68" s="164" t="s">
        <v>203</v>
      </c>
      <c r="D68" s="164"/>
      <c r="E68" s="164"/>
    </row>
    <row r="69" spans="2:5" ht="12.75">
      <c r="B69" s="127"/>
      <c r="C69" s="130">
        <v>2009</v>
      </c>
      <c r="D69" s="130"/>
      <c r="E69" s="130">
        <v>2008</v>
      </c>
    </row>
    <row r="70" spans="2:4" ht="12.75">
      <c r="B70" s="127"/>
      <c r="D70" s="131"/>
    </row>
    <row r="71" spans="1:4" ht="12.75">
      <c r="A71" s="132" t="s">
        <v>111</v>
      </c>
      <c r="B71" s="127"/>
      <c r="D71" s="131"/>
    </row>
    <row r="72" spans="2:4" ht="12.75">
      <c r="B72" s="127"/>
      <c r="D72" s="137"/>
    </row>
    <row r="73" spans="1:5" ht="16.5" customHeight="1">
      <c r="A73" s="145" t="s">
        <v>8</v>
      </c>
      <c r="B73" s="137"/>
      <c r="C73" s="137">
        <f>+'[1]K'!F15</f>
        <v>930000</v>
      </c>
      <c r="D73" s="137"/>
      <c r="E73" s="137">
        <v>600000</v>
      </c>
    </row>
    <row r="74" spans="1:7" ht="16.5" customHeight="1">
      <c r="A74" s="145" t="s">
        <v>148</v>
      </c>
      <c r="B74" s="127"/>
      <c r="C74" s="137">
        <f>+'[1]K'!F16+'[1]K'!F17</f>
        <v>2239500</v>
      </c>
      <c r="D74" s="137"/>
      <c r="E74" s="137">
        <v>1772000</v>
      </c>
      <c r="G74" s="126" t="s">
        <v>0</v>
      </c>
    </row>
    <row r="75" spans="1:5" ht="16.5" customHeight="1">
      <c r="A75" s="145" t="s">
        <v>150</v>
      </c>
      <c r="B75" s="127"/>
      <c r="C75" s="137">
        <f>+'[1]K'!F18</f>
        <v>2359500</v>
      </c>
      <c r="D75" s="137"/>
      <c r="E75" s="137">
        <v>2359500</v>
      </c>
    </row>
    <row r="76" spans="1:5" ht="16.5" customHeight="1">
      <c r="A76" s="145" t="s">
        <v>219</v>
      </c>
      <c r="B76" s="127"/>
      <c r="C76" s="146">
        <f>+'[1]K'!F19</f>
        <v>1508.685</v>
      </c>
      <c r="D76" s="146"/>
      <c r="E76" s="146">
        <v>3220</v>
      </c>
    </row>
    <row r="77" spans="1:5" ht="12.75">
      <c r="A77" s="148"/>
      <c r="B77" s="127"/>
      <c r="C77" s="137"/>
      <c r="D77" s="137"/>
      <c r="E77" s="137"/>
    </row>
    <row r="78" spans="1:5" ht="12.75">
      <c r="A78" s="149" t="s">
        <v>221</v>
      </c>
      <c r="B78" s="127"/>
      <c r="C78" s="150">
        <f>SUM(C73:C77)</f>
        <v>5530508.685</v>
      </c>
      <c r="D78" s="134"/>
      <c r="E78" s="150">
        <f>SUM(E73:E77)</f>
        <v>4734720</v>
      </c>
    </row>
    <row r="79" spans="2:5" ht="12.75">
      <c r="B79" s="127"/>
      <c r="C79" s="137"/>
      <c r="D79" s="137"/>
      <c r="E79" s="137"/>
    </row>
    <row r="80" spans="2:5" ht="12.75">
      <c r="B80" s="127"/>
      <c r="C80" s="137"/>
      <c r="D80" s="137"/>
      <c r="E80" s="137"/>
    </row>
    <row r="81" spans="1:5" ht="15" customHeight="1">
      <c r="A81" s="148" t="s">
        <v>222</v>
      </c>
      <c r="B81" s="127"/>
      <c r="C81" s="147" t="s">
        <v>209</v>
      </c>
      <c r="D81" s="137"/>
      <c r="E81" s="147">
        <v>330000</v>
      </c>
    </row>
    <row r="82" spans="1:5" ht="12.75">
      <c r="A82" s="148" t="s">
        <v>24</v>
      </c>
      <c r="B82" s="127"/>
      <c r="C82" s="137">
        <f>+'A20'!C57</f>
        <v>1322659.3200000003</v>
      </c>
      <c r="D82" s="137"/>
      <c r="E82" s="137">
        <v>705789</v>
      </c>
    </row>
    <row r="83" spans="1:5" ht="12.75">
      <c r="A83" s="148"/>
      <c r="B83" s="127"/>
      <c r="C83" s="137"/>
      <c r="D83" s="137"/>
      <c r="E83" s="137"/>
    </row>
    <row r="84" spans="2:5" ht="15.75" customHeight="1">
      <c r="B84" s="127"/>
      <c r="C84" s="137"/>
      <c r="D84" s="137"/>
      <c r="E84" s="137"/>
    </row>
    <row r="85" spans="1:5" ht="12.75">
      <c r="A85" s="149" t="s">
        <v>223</v>
      </c>
      <c r="B85" s="127" t="s">
        <v>224</v>
      </c>
      <c r="C85" s="150">
        <f>SUM(C78:C82)</f>
        <v>6853168.005</v>
      </c>
      <c r="D85" s="134"/>
      <c r="E85" s="150">
        <f>SUM(E78:E84)</f>
        <v>5770509</v>
      </c>
    </row>
    <row r="86" spans="2:5" ht="12.75">
      <c r="B86" s="127"/>
      <c r="C86" s="137"/>
      <c r="D86" s="137"/>
      <c r="E86" s="137"/>
    </row>
    <row r="87" spans="1:5" ht="12.75">
      <c r="A87" s="132" t="s">
        <v>225</v>
      </c>
      <c r="B87" s="127"/>
      <c r="C87" s="137"/>
      <c r="D87" s="137"/>
      <c r="E87" s="137"/>
    </row>
    <row r="88" spans="1:5" ht="12.75">
      <c r="A88" s="132"/>
      <c r="B88" s="127"/>
      <c r="C88" s="137"/>
      <c r="D88" s="137"/>
      <c r="E88" s="137"/>
    </row>
    <row r="89" spans="1:5" ht="12.75">
      <c r="A89" s="135" t="s">
        <v>226</v>
      </c>
      <c r="B89" s="127"/>
      <c r="C89" s="137"/>
      <c r="D89" s="137"/>
      <c r="E89" s="137"/>
    </row>
    <row r="90" spans="1:5" ht="12.75">
      <c r="A90" s="132"/>
      <c r="B90" s="127"/>
      <c r="C90" s="137"/>
      <c r="D90" s="137"/>
      <c r="E90" s="137"/>
    </row>
    <row r="91" spans="1:5" ht="12.75">
      <c r="A91" s="148" t="s">
        <v>227</v>
      </c>
      <c r="B91" s="127"/>
      <c r="C91" s="150">
        <f>+'[1]M'!F17</f>
        <v>383246.343</v>
      </c>
      <c r="D91" s="137"/>
      <c r="E91" s="150">
        <v>151823</v>
      </c>
    </row>
    <row r="92" spans="2:5" ht="12.75">
      <c r="B92" s="127"/>
      <c r="C92" s="137"/>
      <c r="D92" s="137"/>
      <c r="E92" s="137"/>
    </row>
    <row r="93" spans="1:5" ht="12.75">
      <c r="A93" s="135" t="s">
        <v>228</v>
      </c>
      <c r="B93" s="127"/>
      <c r="C93" s="137"/>
      <c r="D93" s="137"/>
      <c r="E93" s="137"/>
    </row>
    <row r="94" spans="2:5" ht="12.75">
      <c r="B94" s="127"/>
      <c r="C94" s="137"/>
      <c r="D94" s="137"/>
      <c r="E94" s="137"/>
    </row>
    <row r="95" spans="1:5" ht="17.25" customHeight="1">
      <c r="A95" s="145" t="s">
        <v>229</v>
      </c>
      <c r="B95" s="127" t="s">
        <v>230</v>
      </c>
      <c r="C95" s="137">
        <f>+'[1]N'!F28</f>
        <v>2007517.7280000004</v>
      </c>
      <c r="D95" s="137"/>
      <c r="E95" s="137">
        <v>1677176</v>
      </c>
    </row>
    <row r="96" spans="1:5" ht="17.25" customHeight="1">
      <c r="A96" s="145" t="s">
        <v>10</v>
      </c>
      <c r="B96" s="127" t="s">
        <v>231</v>
      </c>
      <c r="C96" s="137">
        <f>+'[1]P'!F29</f>
        <v>720169.4770000001</v>
      </c>
      <c r="D96" s="137"/>
      <c r="E96" s="137">
        <v>1202420</v>
      </c>
    </row>
    <row r="97" spans="1:5" ht="17.25" customHeight="1">
      <c r="A97" s="145" t="s">
        <v>27</v>
      </c>
      <c r="B97" s="127" t="s">
        <v>232</v>
      </c>
      <c r="C97" s="137">
        <f>+'[1]Q'!F18</f>
        <v>519142.628</v>
      </c>
      <c r="D97" s="137"/>
      <c r="E97" s="137">
        <v>112483</v>
      </c>
    </row>
    <row r="98" spans="2:5" ht="12.75">
      <c r="B98" s="127"/>
      <c r="C98" s="137"/>
      <c r="D98" s="137"/>
      <c r="E98" s="137"/>
    </row>
    <row r="99" spans="1:5" ht="12.75">
      <c r="A99" s="149" t="s">
        <v>43</v>
      </c>
      <c r="B99" s="127"/>
      <c r="C99" s="150">
        <f>SUM(C95:C98)</f>
        <v>3246829.8330000006</v>
      </c>
      <c r="D99" s="134"/>
      <c r="E99" s="150">
        <f>SUM(E95:E98)</f>
        <v>2992079</v>
      </c>
    </row>
    <row r="100" spans="1:5" ht="12.75">
      <c r="A100" s="151"/>
      <c r="B100" s="127"/>
      <c r="C100" s="137"/>
      <c r="D100" s="137"/>
      <c r="E100" s="137"/>
    </row>
    <row r="101" spans="1:5" ht="12.75">
      <c r="A101" s="151"/>
      <c r="B101" s="127"/>
      <c r="C101" s="137"/>
      <c r="D101" s="137"/>
      <c r="E101" s="137"/>
    </row>
    <row r="102" spans="1:5" ht="12.75">
      <c r="A102" s="149" t="s">
        <v>196</v>
      </c>
      <c r="B102" s="127"/>
      <c r="C102" s="150">
        <f>C99+C91</f>
        <v>3630076.1760000004</v>
      </c>
      <c r="D102" s="134"/>
      <c r="E102" s="150">
        <f>+E91+E99</f>
        <v>3143902</v>
      </c>
    </row>
    <row r="103" spans="1:5" ht="12.75">
      <c r="A103" s="130"/>
      <c r="B103" s="127"/>
      <c r="C103" s="137"/>
      <c r="D103" s="137"/>
      <c r="E103" s="137"/>
    </row>
    <row r="104" spans="1:5" ht="12.75">
      <c r="A104" s="130"/>
      <c r="B104" s="127"/>
      <c r="C104" s="137"/>
      <c r="D104" s="137"/>
      <c r="E104" s="137"/>
    </row>
    <row r="105" spans="1:5" ht="12.75">
      <c r="A105" s="130"/>
      <c r="B105" s="127"/>
      <c r="C105" s="137"/>
      <c r="D105" s="137"/>
      <c r="E105" s="137"/>
    </row>
    <row r="106" spans="1:5" ht="13.5" thickBot="1">
      <c r="A106" s="129" t="s">
        <v>197</v>
      </c>
      <c r="B106" s="127"/>
      <c r="C106" s="152">
        <f>C102+C85</f>
        <v>10483244.181</v>
      </c>
      <c r="D106" s="153"/>
      <c r="E106" s="152">
        <f>+E85+E102</f>
        <v>8914411</v>
      </c>
    </row>
    <row r="107" spans="2:5" ht="13.5" thickTop="1">
      <c r="B107" s="127"/>
      <c r="C107" s="137"/>
      <c r="D107" s="137"/>
      <c r="E107" s="137"/>
    </row>
    <row r="108" spans="2:5" ht="12.75">
      <c r="B108" s="154"/>
      <c r="C108" s="137"/>
      <c r="D108" s="137"/>
      <c r="E108" s="137"/>
    </row>
    <row r="109" spans="2:5" ht="12.75">
      <c r="B109" s="154"/>
      <c r="C109" s="137">
        <f>+C53-C106</f>
        <v>0.24200000055134296</v>
      </c>
      <c r="D109" s="137"/>
      <c r="E109" s="137">
        <f>+E53-E106</f>
        <v>0</v>
      </c>
    </row>
    <row r="110" spans="2:5" ht="12.75">
      <c r="B110" s="154"/>
      <c r="C110" s="134"/>
      <c r="D110" s="137"/>
      <c r="E110" s="134"/>
    </row>
    <row r="111" spans="2:5" ht="12.75">
      <c r="B111" s="154"/>
      <c r="C111" s="137">
        <f>+C109/2</f>
        <v>0.12100000027567148</v>
      </c>
      <c r="D111" s="137"/>
      <c r="E111" s="137"/>
    </row>
    <row r="112" spans="2:5" ht="12.75">
      <c r="B112" s="154"/>
      <c r="C112" s="137" t="s">
        <v>0</v>
      </c>
      <c r="D112" s="137"/>
      <c r="E112" s="137" t="s">
        <v>0</v>
      </c>
    </row>
    <row r="113" spans="2:5" ht="12.75">
      <c r="B113" s="154"/>
      <c r="C113" s="155"/>
      <c r="D113" s="137"/>
      <c r="E113" s="137" t="s">
        <v>0</v>
      </c>
    </row>
    <row r="114" spans="2:5" ht="12.75">
      <c r="B114" s="154"/>
      <c r="C114" s="137"/>
      <c r="D114" s="137"/>
      <c r="E114" s="137"/>
    </row>
    <row r="115" spans="2:5" ht="12.75">
      <c r="B115" s="154"/>
      <c r="C115" s="137" t="s">
        <v>0</v>
      </c>
      <c r="D115" s="137"/>
      <c r="E115" s="137" t="s">
        <v>0</v>
      </c>
    </row>
    <row r="116" spans="2:5" ht="12.75">
      <c r="B116" s="154"/>
      <c r="C116" s="137"/>
      <c r="D116" s="137"/>
      <c r="E116" s="137"/>
    </row>
    <row r="117" spans="2:5" ht="12.75">
      <c r="B117" s="154"/>
      <c r="C117" s="137"/>
      <c r="D117" s="137"/>
      <c r="E117" s="137"/>
    </row>
    <row r="118" spans="2:5" ht="12.75">
      <c r="B118" s="154"/>
      <c r="C118" s="137"/>
      <c r="D118" s="137"/>
      <c r="E118" s="137"/>
    </row>
    <row r="119" spans="2:5" ht="12.75">
      <c r="B119" s="154"/>
      <c r="C119" s="137"/>
      <c r="D119" s="137"/>
      <c r="E119" s="137"/>
    </row>
    <row r="120" spans="2:5" ht="12.75">
      <c r="B120" s="154"/>
      <c r="C120" s="137"/>
      <c r="D120" s="137"/>
      <c r="E120" s="137"/>
    </row>
    <row r="121" spans="2:5" ht="12.75">
      <c r="B121" s="154"/>
      <c r="C121" s="137"/>
      <c r="D121" s="137"/>
      <c r="E121" s="137"/>
    </row>
    <row r="122" spans="2:5" ht="12.75">
      <c r="B122" s="154"/>
      <c r="C122" s="137"/>
      <c r="D122" s="137"/>
      <c r="E122" s="137"/>
    </row>
    <row r="123" spans="2:5" ht="12.75">
      <c r="B123" s="154"/>
      <c r="C123" s="137"/>
      <c r="D123" s="137"/>
      <c r="E123" s="137"/>
    </row>
    <row r="124" spans="2:5" ht="12.75">
      <c r="B124" s="154"/>
      <c r="C124" s="137"/>
      <c r="D124" s="137"/>
      <c r="E124" s="137"/>
    </row>
    <row r="125" spans="2:5" ht="12.75">
      <c r="B125" s="154"/>
      <c r="C125" s="137"/>
      <c r="D125" s="137"/>
      <c r="E125" s="137"/>
    </row>
    <row r="126" spans="2:5" ht="12.75">
      <c r="B126" s="154"/>
      <c r="C126" s="137"/>
      <c r="D126" s="137"/>
      <c r="E126" s="137"/>
    </row>
    <row r="127" spans="2:5" ht="12.75">
      <c r="B127" s="154"/>
      <c r="C127" s="137"/>
      <c r="D127" s="137"/>
      <c r="E127" s="137"/>
    </row>
    <row r="128" spans="2:5" ht="12.75">
      <c r="B128" s="154"/>
      <c r="C128" s="137"/>
      <c r="E128" s="137"/>
    </row>
    <row r="129" ht="12.75">
      <c r="B129" s="154"/>
    </row>
    <row r="130" ht="12.75">
      <c r="B130" s="154"/>
    </row>
    <row r="131" ht="12.75">
      <c r="B131" s="154"/>
    </row>
    <row r="132" ht="12.75">
      <c r="B132" s="154"/>
    </row>
    <row r="133" ht="12.75">
      <c r="B133" s="154"/>
    </row>
    <row r="134" ht="12.75">
      <c r="B134" s="154"/>
    </row>
    <row r="135" ht="12.75">
      <c r="B135" s="154"/>
    </row>
    <row r="136" ht="12.75">
      <c r="B136" s="154"/>
    </row>
    <row r="137" ht="12.75">
      <c r="B137" s="154"/>
    </row>
    <row r="138" ht="12.75">
      <c r="B138" s="154"/>
    </row>
    <row r="139" ht="12.75">
      <c r="B139" s="154"/>
    </row>
    <row r="140" ht="12.75">
      <c r="B140" s="154"/>
    </row>
    <row r="141" ht="12.75">
      <c r="B141" s="154"/>
    </row>
    <row r="142" ht="12.75">
      <c r="B142" s="154"/>
    </row>
    <row r="143" ht="12.75">
      <c r="B143" s="154"/>
    </row>
    <row r="144" ht="12.75">
      <c r="B144" s="154"/>
    </row>
    <row r="145" ht="12.75">
      <c r="B145" s="154"/>
    </row>
    <row r="146" ht="12.75">
      <c r="B146" s="154"/>
    </row>
    <row r="147" ht="12.75">
      <c r="B147" s="154"/>
    </row>
    <row r="148" ht="12.75">
      <c r="B148" s="154"/>
    </row>
    <row r="149" ht="12.75">
      <c r="B149" s="154"/>
    </row>
  </sheetData>
  <sheetProtection/>
  <mergeCells count="8">
    <mergeCell ref="A63:E63"/>
    <mergeCell ref="C68:E68"/>
    <mergeCell ref="A5:E5"/>
    <mergeCell ref="A7:E7"/>
    <mergeCell ref="A9:E9"/>
    <mergeCell ref="C13:E13"/>
    <mergeCell ref="A59:E59"/>
    <mergeCell ref="A61:E61"/>
  </mergeCells>
  <printOptions/>
  <pageMargins left="0.25" right="0.3" top="0.42" bottom="0.41" header="0.4921259845" footer="0.4921259845"/>
  <pageSetup horizontalDpi="300" verticalDpi="300" orientation="landscape" paperSize="9" scale="70" r:id="rId1"/>
  <rowBreaks count="1" manualBreakCount="1">
    <brk id="54" max="4" man="1"/>
  </rowBreaks>
</worksheet>
</file>

<file path=xl/worksheets/sheet10.xml><?xml version="1.0" encoding="utf-8"?>
<worksheet xmlns="http://schemas.openxmlformats.org/spreadsheetml/2006/main" xmlns:r="http://schemas.openxmlformats.org/officeDocument/2006/relationships">
  <dimension ref="B7:F27"/>
  <sheetViews>
    <sheetView view="pageBreakPreview" zoomScale="85" zoomScaleSheetLayoutView="85" zoomScalePageLayoutView="0" workbookViewId="0" topLeftCell="A1">
      <selection activeCell="G14" sqref="G14"/>
    </sheetView>
  </sheetViews>
  <sheetFormatPr defaultColWidth="11.421875" defaultRowHeight="12.75"/>
  <cols>
    <col min="1" max="1" width="8.57421875" style="42" customWidth="1"/>
    <col min="2" max="2" width="28.140625" style="42" bestFit="1" customWidth="1"/>
    <col min="3" max="3" width="33.00390625" style="52" bestFit="1" customWidth="1"/>
    <col min="4" max="4" width="14.421875" style="52" bestFit="1" customWidth="1"/>
    <col min="5" max="5" width="14.421875" style="42" bestFit="1" customWidth="1"/>
    <col min="6" max="6" width="8.00390625" style="42" customWidth="1"/>
    <col min="7" max="16384" width="11.421875" style="42" customWidth="1"/>
  </cols>
  <sheetData>
    <row r="1" ht="15.75"/>
    <row r="2" ht="15.75"/>
    <row r="3" ht="15.75"/>
    <row r="4" ht="15.75"/>
    <row r="5" ht="15.75"/>
    <row r="6" ht="15.75"/>
    <row r="7" spans="2:5" ht="20.25">
      <c r="B7" s="170" t="s">
        <v>92</v>
      </c>
      <c r="C7" s="170"/>
      <c r="D7" s="170"/>
      <c r="E7" s="170"/>
    </row>
    <row r="8" ht="15.75"/>
    <row r="9" spans="4:5" ht="15.75">
      <c r="D9" s="65">
        <f>+'1-Bilan et état de  résultat'!D6</f>
        <v>40178</v>
      </c>
      <c r="E9" s="65">
        <f>+'1-Bilan et état de  résultat'!E6</f>
        <v>39813</v>
      </c>
    </row>
    <row r="10" ht="15.75"/>
    <row r="11" ht="15.75">
      <c r="B11" s="43"/>
    </row>
    <row r="12" spans="2:5" ht="15.75">
      <c r="B12" s="43"/>
      <c r="D12" s="84"/>
      <c r="E12" s="58"/>
    </row>
    <row r="13" spans="2:6" ht="15.75">
      <c r="B13" s="43" t="s">
        <v>95</v>
      </c>
      <c r="C13" s="59" t="s">
        <v>162</v>
      </c>
      <c r="D13" s="58">
        <f>+(('2-Autres données'!C15+'2-Autres données'!C18))/('2-Autres données'!C16+'1-Bilan et état de  résultat'!D33)</f>
        <v>3.8452426358127028</v>
      </c>
      <c r="E13" s="58">
        <f>+(('2-Autres données'!D15+'2-Autres données'!D18))/('2-Autres données'!D16+'1-Bilan et état de  résultat'!E33)</f>
        <v>5.766667363271464</v>
      </c>
      <c r="F13" s="42" t="s">
        <v>94</v>
      </c>
    </row>
    <row r="14" spans="2:3" ht="15.75">
      <c r="B14" s="43"/>
      <c r="C14" s="52" t="s">
        <v>96</v>
      </c>
    </row>
    <row r="15" ht="15.75">
      <c r="B15" s="43"/>
    </row>
    <row r="16" ht="15.75">
      <c r="B16" s="43"/>
    </row>
    <row r="17" spans="2:6" ht="15.75">
      <c r="B17" s="43" t="s">
        <v>97</v>
      </c>
      <c r="C17" s="59">
        <v>360</v>
      </c>
      <c r="D17" s="66">
        <f>360/D13</f>
        <v>93.62218046974115</v>
      </c>
      <c r="E17" s="66">
        <f>360/E13</f>
        <v>62.42773812356153</v>
      </c>
      <c r="F17" s="42" t="s">
        <v>93</v>
      </c>
    </row>
    <row r="18" spans="2:3" ht="15.75">
      <c r="B18" s="43"/>
      <c r="C18" s="52" t="s">
        <v>98</v>
      </c>
    </row>
    <row r="19" ht="15.75">
      <c r="B19" s="43"/>
    </row>
    <row r="20" ht="15.75">
      <c r="B20" s="43"/>
    </row>
    <row r="21" ht="15.75">
      <c r="B21" s="43"/>
    </row>
    <row r="22" spans="2:6" ht="15.75">
      <c r="B22" s="43" t="s">
        <v>101</v>
      </c>
      <c r="C22" s="59" t="s">
        <v>102</v>
      </c>
      <c r="D22" s="51">
        <f>+'1-Bilan et état de  résultat'!D115/'3-bilan de synthèse'!C16</f>
        <v>0.705215224952692</v>
      </c>
      <c r="E22" s="51">
        <f>+'1-Bilan et état de  résultat'!E115/'3-bilan de synthèse'!D16</f>
        <v>0.7682946186797983</v>
      </c>
      <c r="F22" s="42" t="s">
        <v>100</v>
      </c>
    </row>
    <row r="23" spans="2:3" ht="15.75">
      <c r="B23" s="43"/>
      <c r="C23" s="52" t="s">
        <v>72</v>
      </c>
    </row>
    <row r="24" ht="15.75">
      <c r="B24" s="43"/>
    </row>
    <row r="25" ht="15.75">
      <c r="B25" s="43"/>
    </row>
    <row r="26" spans="2:6" ht="15.75">
      <c r="B26" s="43" t="s">
        <v>104</v>
      </c>
      <c r="C26" s="59" t="s">
        <v>102</v>
      </c>
      <c r="D26" s="51">
        <f>+'1-Bilan et état de  résultat'!D115/'3-bilan de synthèse'!C10</f>
        <v>1.8532719557164261</v>
      </c>
      <c r="E26" s="51">
        <f>+'1-Bilan et état de  résultat'!E115/'3-bilan de synthèse'!D10</f>
        <v>2.573606317438905</v>
      </c>
      <c r="F26" s="42" t="s">
        <v>100</v>
      </c>
    </row>
    <row r="27" spans="2:3" ht="15.75">
      <c r="B27" s="43"/>
      <c r="C27" s="52" t="s">
        <v>58</v>
      </c>
    </row>
  </sheetData>
  <sheetProtection/>
  <mergeCells count="1">
    <mergeCell ref="B7:E7"/>
  </mergeCells>
  <printOptions/>
  <pageMargins left="0.787401575" right="0.787401575" top="0.984251969" bottom="0.984251969" header="0.4921259845" footer="0.4921259845"/>
  <pageSetup horizontalDpi="600" verticalDpi="600" orientation="portrait" paperSize="9" scale="81" r:id="rId3"/>
  <legacyDrawing r:id="rId2"/>
</worksheet>
</file>

<file path=xl/worksheets/sheet11.xml><?xml version="1.0" encoding="utf-8"?>
<worksheet xmlns="http://schemas.openxmlformats.org/spreadsheetml/2006/main" xmlns:r="http://schemas.openxmlformats.org/officeDocument/2006/relationships">
  <dimension ref="B6:F27"/>
  <sheetViews>
    <sheetView view="pageBreakPreview" zoomScale="85" zoomScaleSheetLayoutView="85" zoomScalePageLayoutView="0" workbookViewId="0" topLeftCell="A1">
      <selection activeCell="G11" sqref="G11"/>
    </sheetView>
  </sheetViews>
  <sheetFormatPr defaultColWidth="11.421875" defaultRowHeight="12.75"/>
  <cols>
    <col min="1" max="1" width="11.421875" style="42" customWidth="1"/>
    <col min="2" max="2" width="27.57421875" style="42" bestFit="1" customWidth="1"/>
    <col min="3" max="3" width="46.140625" style="52" bestFit="1" customWidth="1"/>
    <col min="4" max="4" width="11.57421875" style="52" bestFit="1" customWidth="1"/>
    <col min="5" max="5" width="11.57421875" style="42" bestFit="1" customWidth="1"/>
    <col min="6" max="16384" width="11.421875" style="42" customWidth="1"/>
  </cols>
  <sheetData>
    <row r="6" spans="2:5" ht="20.25">
      <c r="B6" s="170" t="s">
        <v>105</v>
      </c>
      <c r="C6" s="170"/>
      <c r="D6" s="170"/>
      <c r="E6" s="170"/>
    </row>
    <row r="9" spans="4:5" ht="15.75">
      <c r="D9" s="67">
        <f>+'1-Bilan et état de  résultat'!D6</f>
        <v>40178</v>
      </c>
      <c r="E9" s="67">
        <f>+'1-Bilan et état de  résultat'!E6</f>
        <v>39813</v>
      </c>
    </row>
    <row r="11" spans="2:5" ht="15.75">
      <c r="B11" s="43" t="s">
        <v>106</v>
      </c>
      <c r="C11" s="59" t="s">
        <v>107</v>
      </c>
      <c r="D11" s="88">
        <f>+'1-Bilan et état de  résultat'!D150/'1-Bilan et état de  résultat'!D115</f>
        <v>0.17890834777254574</v>
      </c>
      <c r="E11" s="88">
        <f>+'1-Bilan et état de  résultat'!E150/'1-Bilan et état de  résultat'!E115</f>
        <v>0.15123452063939075</v>
      </c>
    </row>
    <row r="12" spans="2:3" ht="15.75">
      <c r="B12" s="43"/>
      <c r="C12" s="52" t="s">
        <v>102</v>
      </c>
    </row>
    <row r="13" ht="15.75">
      <c r="B13" s="43"/>
    </row>
    <row r="14" ht="15.75">
      <c r="B14" s="43"/>
    </row>
    <row r="15" spans="2:6" ht="15.75">
      <c r="B15" s="43" t="s">
        <v>108</v>
      </c>
      <c r="C15" s="59" t="s">
        <v>107</v>
      </c>
      <c r="D15" s="88">
        <f>+'1-Bilan et état de  résultat'!D150/'3-bilan de synthèse'!C16</f>
        <v>0.1261688907203303</v>
      </c>
      <c r="E15" s="88">
        <f>+'1-Bilan et état de  résultat'!E150/'3-bilan de synthèse'!D16</f>
        <v>0.11619266836586281</v>
      </c>
      <c r="F15" s="101"/>
    </row>
    <row r="16" spans="2:3" ht="15.75">
      <c r="B16" s="43"/>
      <c r="C16" s="52" t="s">
        <v>72</v>
      </c>
    </row>
    <row r="17" ht="15.75">
      <c r="B17" s="43"/>
    </row>
    <row r="18" ht="15.75">
      <c r="B18" s="43"/>
    </row>
    <row r="19" spans="2:5" ht="15.75">
      <c r="B19" s="43" t="s">
        <v>109</v>
      </c>
      <c r="C19" s="59" t="s">
        <v>182</v>
      </c>
      <c r="D19" s="88">
        <f>+('1-Bilan et état de  résultat'!D142-'1-Bilan et état de  résultat'!D136)/'3-bilan de synthèse'!C16</f>
        <v>0.13254772787243244</v>
      </c>
      <c r="E19" s="88">
        <f>+('1-Bilan et état de  résultat'!E142-'1-Bilan et état de  résultat'!E136)/'3-bilan de synthèse'!D16</f>
        <v>0.14371585525953418</v>
      </c>
    </row>
    <row r="20" spans="2:3" ht="15.75">
      <c r="B20" s="43"/>
      <c r="C20" s="52" t="s">
        <v>72</v>
      </c>
    </row>
    <row r="21" ht="15.75">
      <c r="B21" s="43"/>
    </row>
    <row r="22" ht="15.75">
      <c r="B22" s="43"/>
    </row>
    <row r="23" spans="2:5" ht="15.75">
      <c r="B23" s="43" t="s">
        <v>110</v>
      </c>
      <c r="C23" s="59" t="s">
        <v>107</v>
      </c>
      <c r="D23" s="88">
        <f>+'1-Bilan et état de  résultat'!D150/'1-Bilan et état de  résultat'!D70</f>
        <v>0.23915690135110954</v>
      </c>
      <c r="E23" s="88">
        <f>+'1-Bilan et état de  résultat'!E150/'1-Bilan et état de  résultat'!E70</f>
        <v>0.20451065429085902</v>
      </c>
    </row>
    <row r="24" ht="15.75">
      <c r="C24" s="52" t="s">
        <v>111</v>
      </c>
    </row>
    <row r="27" spans="2:5" ht="15.75">
      <c r="B27" s="43" t="s">
        <v>153</v>
      </c>
      <c r="C27" s="52" t="s">
        <v>171</v>
      </c>
      <c r="D27" s="50">
        <f>+'1-Bilan et état de  résultat'!D134+'1-Bilan et état de  résultat'!D127</f>
        <v>1505536.0579999993</v>
      </c>
      <c r="E27" s="50">
        <f>+'1-Bilan et état de  résultat'!E134+'1-Bilan et état de  résultat'!E127</f>
        <v>1309753.2009999994</v>
      </c>
    </row>
  </sheetData>
  <sheetProtection/>
  <mergeCells count="1">
    <mergeCell ref="B6:E6"/>
  </mergeCells>
  <printOptions/>
  <pageMargins left="0.787401575" right="0.787401575" top="0.984251969" bottom="0.984251969" header="0.4921259845" footer="0.4921259845"/>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C7:D23"/>
  <sheetViews>
    <sheetView view="pageBreakPreview" zoomScale="60" zoomScalePageLayoutView="0" workbookViewId="0" topLeftCell="A1">
      <selection activeCell="L23" sqref="L23"/>
    </sheetView>
  </sheetViews>
  <sheetFormatPr defaultColWidth="11.421875" defaultRowHeight="12.75"/>
  <cols>
    <col min="3" max="3" width="46.28125" style="30" customWidth="1"/>
    <col min="4" max="4" width="68.421875" style="36" customWidth="1"/>
  </cols>
  <sheetData>
    <row r="1" ht="12.75"/>
    <row r="2" ht="12.75"/>
    <row r="3" ht="12.75"/>
    <row r="7" spans="3:4" ht="12.75">
      <c r="C7" s="33" t="s">
        <v>117</v>
      </c>
      <c r="D7" s="34" t="s">
        <v>118</v>
      </c>
    </row>
    <row r="8" spans="3:4" ht="35.25" customHeight="1">
      <c r="C8" s="33" t="s">
        <v>70</v>
      </c>
      <c r="D8" s="35" t="s">
        <v>120</v>
      </c>
    </row>
    <row r="9" spans="3:4" ht="63" customHeight="1">
      <c r="C9" s="33" t="s">
        <v>119</v>
      </c>
      <c r="D9" s="35" t="s">
        <v>121</v>
      </c>
    </row>
    <row r="10" spans="3:4" ht="25.5">
      <c r="C10" s="33" t="s">
        <v>122</v>
      </c>
      <c r="D10" s="35" t="s">
        <v>123</v>
      </c>
    </row>
    <row r="11" spans="3:4" ht="36.75" customHeight="1">
      <c r="C11" s="33" t="s">
        <v>78</v>
      </c>
      <c r="D11" s="35" t="s">
        <v>124</v>
      </c>
    </row>
    <row r="12" spans="3:4" ht="51">
      <c r="C12" s="33" t="s">
        <v>125</v>
      </c>
      <c r="D12" s="35" t="s">
        <v>126</v>
      </c>
    </row>
    <row r="13" spans="3:4" ht="38.25">
      <c r="C13" s="33" t="s">
        <v>127</v>
      </c>
      <c r="D13" s="35" t="s">
        <v>145</v>
      </c>
    </row>
    <row r="14" spans="3:4" ht="51">
      <c r="C14" s="33" t="s">
        <v>128</v>
      </c>
      <c r="D14" s="35" t="s">
        <v>139</v>
      </c>
    </row>
    <row r="15" spans="3:4" ht="38.25">
      <c r="C15" s="33" t="s">
        <v>129</v>
      </c>
      <c r="D15" s="35" t="s">
        <v>130</v>
      </c>
    </row>
    <row r="16" spans="3:4" ht="35.25" customHeight="1">
      <c r="C16" s="33" t="s">
        <v>131</v>
      </c>
      <c r="D16" s="35" t="s">
        <v>132</v>
      </c>
    </row>
    <row r="17" spans="3:4" ht="51">
      <c r="C17" s="33" t="s">
        <v>133</v>
      </c>
      <c r="D17" s="35" t="s">
        <v>134</v>
      </c>
    </row>
    <row r="18" spans="3:4" ht="38.25">
      <c r="C18" s="33" t="s">
        <v>113</v>
      </c>
      <c r="D18" s="32" t="s">
        <v>135</v>
      </c>
    </row>
    <row r="19" spans="3:4" ht="25.5">
      <c r="C19" s="33" t="s">
        <v>136</v>
      </c>
      <c r="D19" s="32" t="s">
        <v>138</v>
      </c>
    </row>
    <row r="20" spans="3:4" ht="76.5">
      <c r="C20" s="33" t="s">
        <v>97</v>
      </c>
      <c r="D20" s="32" t="s">
        <v>137</v>
      </c>
    </row>
    <row r="21" spans="3:4" ht="12.75">
      <c r="C21" s="33" t="s">
        <v>99</v>
      </c>
      <c r="D21" s="32" t="s">
        <v>140</v>
      </c>
    </row>
    <row r="22" spans="3:4" ht="25.5">
      <c r="C22" s="33" t="s">
        <v>141</v>
      </c>
      <c r="D22" s="32" t="s">
        <v>142</v>
      </c>
    </row>
    <row r="23" spans="3:4" ht="38.25">
      <c r="C23" s="33" t="s">
        <v>143</v>
      </c>
      <c r="D23" s="32" t="s">
        <v>144</v>
      </c>
    </row>
  </sheetData>
  <sheetProtection password="CA91" sheet="1" objects="1" scenarios="1"/>
  <printOptions/>
  <pageMargins left="0.787401575" right="0.787401575" top="0.984251969" bottom="0.984251969" header="0.4921259845" footer="0.4921259845"/>
  <pageSetup horizontalDpi="600" verticalDpi="600" orientation="portrait" paperSize="9" scale="63" r:id="rId3"/>
  <legacyDrawing r:id="rId2"/>
</worksheet>
</file>

<file path=xl/worksheets/sheet2.xml><?xml version="1.0" encoding="utf-8"?>
<worksheet xmlns="http://schemas.openxmlformats.org/spreadsheetml/2006/main" xmlns:r="http://schemas.openxmlformats.org/officeDocument/2006/relationships">
  <sheetPr>
    <tabColor indexed="29"/>
  </sheetPr>
  <dimension ref="A1:F206"/>
  <sheetViews>
    <sheetView view="pageBreakPreview" zoomScale="90" zoomScaleSheetLayoutView="90" zoomScalePageLayoutView="0" workbookViewId="0" topLeftCell="A30">
      <selection activeCell="A60" sqref="A60"/>
    </sheetView>
  </sheetViews>
  <sheetFormatPr defaultColWidth="11.421875" defaultRowHeight="12.75"/>
  <cols>
    <col min="1" max="1" width="45.421875" style="126" customWidth="1"/>
    <col min="2" max="2" width="11.421875" style="126" customWidth="1"/>
    <col min="3" max="3" width="13.57421875" style="126" customWidth="1"/>
    <col min="4" max="4" width="1.7109375" style="126" customWidth="1"/>
    <col min="5" max="5" width="12.7109375" style="126" bestFit="1" customWidth="1"/>
    <col min="6" max="16384" width="11.421875" style="126" customWidth="1"/>
  </cols>
  <sheetData>
    <row r="1" ht="13.5">
      <c r="A1" s="125" t="s">
        <v>200</v>
      </c>
    </row>
    <row r="2" ht="13.5">
      <c r="A2" s="125" t="s">
        <v>201</v>
      </c>
    </row>
    <row r="3" ht="12.75">
      <c r="A3" s="128"/>
    </row>
    <row r="4" ht="22.5" customHeight="1"/>
    <row r="5" spans="1:5" ht="12.75">
      <c r="A5" s="163" t="s">
        <v>189</v>
      </c>
      <c r="B5" s="163"/>
      <c r="C5" s="163"/>
      <c r="D5" s="163"/>
      <c r="E5" s="163"/>
    </row>
    <row r="6" ht="6.75" customHeight="1"/>
    <row r="7" spans="1:5" ht="12.75">
      <c r="A7" s="163" t="s">
        <v>11</v>
      </c>
      <c r="B7" s="163"/>
      <c r="C7" s="163"/>
      <c r="D7" s="163"/>
      <c r="E7" s="163"/>
    </row>
    <row r="8" ht="4.5" customHeight="1"/>
    <row r="9" spans="1:5" ht="12.75">
      <c r="A9" s="163" t="s">
        <v>202</v>
      </c>
      <c r="B9" s="163"/>
      <c r="C9" s="163"/>
      <c r="D9" s="163"/>
      <c r="E9" s="163"/>
    </row>
    <row r="10" spans="1:5" ht="12.75">
      <c r="A10" s="127"/>
      <c r="B10" s="127"/>
      <c r="C10" s="127"/>
      <c r="D10" s="127"/>
      <c r="E10" s="127"/>
    </row>
    <row r="11" spans="1:5" ht="12.75">
      <c r="A11" s="127"/>
      <c r="B11" s="127"/>
      <c r="C11" s="127"/>
      <c r="D11" s="127"/>
      <c r="E11" s="127"/>
    </row>
    <row r="12" spans="1:5" ht="12.75">
      <c r="A12" s="127"/>
      <c r="B12" s="127"/>
      <c r="C12" s="127"/>
      <c r="D12" s="127"/>
      <c r="E12" s="127"/>
    </row>
    <row r="13" spans="2:5" ht="13.5" thickBot="1">
      <c r="B13" s="129" t="s">
        <v>23</v>
      </c>
      <c r="C13" s="164" t="s">
        <v>203</v>
      </c>
      <c r="D13" s="164"/>
      <c r="E13" s="164"/>
    </row>
    <row r="14" spans="2:5" ht="12.75">
      <c r="B14" s="127"/>
      <c r="C14" s="130">
        <v>2009</v>
      </c>
      <c r="D14" s="130"/>
      <c r="E14" s="130">
        <v>2008</v>
      </c>
    </row>
    <row r="15" spans="2:4" ht="12.75">
      <c r="B15" s="127"/>
      <c r="D15" s="130"/>
    </row>
    <row r="16" spans="2:4" ht="12.75">
      <c r="B16" s="127"/>
      <c r="D16" s="131"/>
    </row>
    <row r="17" spans="1:4" ht="12.75">
      <c r="A17" s="156" t="s">
        <v>233</v>
      </c>
      <c r="B17" s="127"/>
      <c r="D17" s="131"/>
    </row>
    <row r="18" spans="2:4" ht="12.75">
      <c r="B18" s="127"/>
      <c r="D18" s="137"/>
    </row>
    <row r="19" spans="1:5" ht="12.75">
      <c r="A19" s="148" t="s">
        <v>234</v>
      </c>
      <c r="B19" s="127" t="s">
        <v>235</v>
      </c>
      <c r="C19" s="137">
        <f>+'[1]Y100'!F20</f>
        <v>7392943.574</v>
      </c>
      <c r="D19" s="137"/>
      <c r="E19" s="137">
        <v>6848894</v>
      </c>
    </row>
    <row r="20" spans="2:5" ht="12.75">
      <c r="B20" s="127"/>
      <c r="C20" s="137"/>
      <c r="D20" s="137"/>
      <c r="E20" s="137"/>
    </row>
    <row r="21" spans="1:5" ht="12.75">
      <c r="A21" s="130" t="s">
        <v>53</v>
      </c>
      <c r="B21" s="127"/>
      <c r="C21" s="150">
        <f>SUM(C19:C20)</f>
        <v>7392943.574</v>
      </c>
      <c r="D21" s="134"/>
      <c r="E21" s="150">
        <f>SUM(E19)</f>
        <v>6848894</v>
      </c>
    </row>
    <row r="22" spans="2:5" ht="12.75">
      <c r="B22" s="127"/>
      <c r="C22" s="137"/>
      <c r="D22" s="137"/>
      <c r="E22" s="137"/>
    </row>
    <row r="23" spans="1:5" ht="12.75">
      <c r="A23" s="156" t="s">
        <v>236</v>
      </c>
      <c r="B23" s="127"/>
      <c r="C23" s="137"/>
      <c r="D23" s="137"/>
      <c r="E23" s="137"/>
    </row>
    <row r="24" spans="2:5" ht="12.75">
      <c r="B24" s="127"/>
      <c r="C24" s="137"/>
      <c r="D24" s="137"/>
      <c r="E24" s="137"/>
    </row>
    <row r="25" spans="1:5" ht="15.75" customHeight="1">
      <c r="A25" s="148" t="s">
        <v>237</v>
      </c>
      <c r="B25" s="127"/>
      <c r="C25" s="137"/>
      <c r="D25" s="137"/>
      <c r="E25" s="137"/>
    </row>
    <row r="26" spans="1:5" ht="15.75" customHeight="1">
      <c r="A26" s="148" t="s">
        <v>238</v>
      </c>
      <c r="B26" s="127"/>
      <c r="C26" s="137">
        <f>+-'[1]Balance prov_2009'!K705</f>
        <v>-554517.251</v>
      </c>
      <c r="D26" s="137"/>
      <c r="E26" s="137">
        <v>152110.94500000007</v>
      </c>
    </row>
    <row r="27" spans="1:5" ht="15.75" customHeight="1">
      <c r="A27" s="148" t="s">
        <v>239</v>
      </c>
      <c r="B27" s="127" t="s">
        <v>240</v>
      </c>
      <c r="C27" s="137">
        <f>+'[1]X100'!F21</f>
        <v>3585068.3249999997</v>
      </c>
      <c r="D27" s="137"/>
      <c r="E27" s="137">
        <v>2766029.8540000003</v>
      </c>
    </row>
    <row r="28" spans="1:5" ht="15.75" customHeight="1">
      <c r="A28" s="148" t="s">
        <v>241</v>
      </c>
      <c r="B28" s="127" t="s">
        <v>242</v>
      </c>
      <c r="C28" s="137">
        <f>+'[1]X200'!F25</f>
        <v>577659.552</v>
      </c>
      <c r="D28" s="137"/>
      <c r="E28" s="137">
        <v>548069</v>
      </c>
    </row>
    <row r="29" spans="1:5" ht="15.75" customHeight="1">
      <c r="A29" s="148" t="s">
        <v>243</v>
      </c>
      <c r="B29" s="127" t="s">
        <v>244</v>
      </c>
      <c r="C29" s="137">
        <f>+'[1]X300'!F25</f>
        <v>129646.636</v>
      </c>
      <c r="D29" s="137"/>
      <c r="E29" s="137">
        <v>103452</v>
      </c>
    </row>
    <row r="30" spans="1:5" ht="15.75" customHeight="1">
      <c r="A30" s="148" t="s">
        <v>245</v>
      </c>
      <c r="B30" s="127" t="s">
        <v>246</v>
      </c>
      <c r="C30" s="137">
        <f>+'[1]X400'!F39</f>
        <v>2279196.89</v>
      </c>
      <c r="D30" s="137"/>
      <c r="E30" s="137">
        <v>2072931</v>
      </c>
    </row>
    <row r="31" spans="2:5" ht="12.75">
      <c r="B31" s="127"/>
      <c r="C31" s="137"/>
      <c r="D31" s="137"/>
      <c r="E31" s="137"/>
    </row>
    <row r="32" spans="1:5" ht="12.75">
      <c r="A32" s="130" t="s">
        <v>54</v>
      </c>
      <c r="B32" s="127"/>
      <c r="C32" s="150">
        <f>SUM(C26:C31)</f>
        <v>6017054.152</v>
      </c>
      <c r="D32" s="134"/>
      <c r="E32" s="150">
        <f>SUM(E26:E31)</f>
        <v>5642592.799000001</v>
      </c>
    </row>
    <row r="33" spans="2:5" ht="20.25" customHeight="1">
      <c r="B33" s="127"/>
      <c r="C33" s="137"/>
      <c r="D33" s="137"/>
      <c r="E33" s="137"/>
    </row>
    <row r="34" spans="1:5" ht="12.75">
      <c r="A34" s="156" t="s">
        <v>247</v>
      </c>
      <c r="B34" s="127"/>
      <c r="C34" s="157">
        <f>C21-C32</f>
        <v>1375889.4220000003</v>
      </c>
      <c r="D34" s="158"/>
      <c r="E34" s="157">
        <f>E21-E32</f>
        <v>1206301.2009999994</v>
      </c>
    </row>
    <row r="35" spans="2:5" ht="12.75">
      <c r="B35" s="127"/>
      <c r="C35" s="137"/>
      <c r="D35" s="137"/>
      <c r="E35" s="137"/>
    </row>
    <row r="36" spans="1:5" ht="15.75" customHeight="1">
      <c r="A36" s="148" t="s">
        <v>248</v>
      </c>
      <c r="B36" s="127" t="s">
        <v>249</v>
      </c>
      <c r="C36" s="137">
        <f>+-'[1]X500'!F24</f>
        <v>-66870.909</v>
      </c>
      <c r="D36" s="137"/>
      <c r="E36" s="137">
        <v>-26524</v>
      </c>
    </row>
    <row r="37" spans="1:5" ht="15.75" customHeight="1">
      <c r="A37" s="148" t="s">
        <v>152</v>
      </c>
      <c r="B37" s="127" t="s">
        <v>250</v>
      </c>
      <c r="C37" s="137">
        <f>+'[1]Y500'!F23</f>
        <v>4463.268</v>
      </c>
      <c r="D37" s="137"/>
      <c r="E37" s="137">
        <v>32391</v>
      </c>
    </row>
    <row r="38" spans="1:5" ht="15.75" customHeight="1">
      <c r="A38" s="148" t="s">
        <v>251</v>
      </c>
      <c r="B38" s="127" t="s">
        <v>252</v>
      </c>
      <c r="C38" s="137">
        <f>+'[1]Y400'!F22</f>
        <v>75231.706</v>
      </c>
      <c r="D38" s="137"/>
      <c r="E38" s="137">
        <v>60954</v>
      </c>
    </row>
    <row r="39" spans="1:5" ht="15.75" customHeight="1">
      <c r="A39" s="148" t="s">
        <v>253</v>
      </c>
      <c r="B39" s="127" t="s">
        <v>254</v>
      </c>
      <c r="C39" s="147">
        <f>-+'[1]X600'!F19</f>
        <v>-66054.167</v>
      </c>
      <c r="D39" s="147"/>
      <c r="E39" s="147">
        <v>-18504</v>
      </c>
    </row>
    <row r="40" spans="2:5" ht="9.75" customHeight="1">
      <c r="B40" s="127"/>
      <c r="C40" s="137"/>
      <c r="D40" s="137"/>
      <c r="E40" s="137"/>
    </row>
    <row r="41" spans="1:5" ht="12.75">
      <c r="A41" s="156" t="s">
        <v>55</v>
      </c>
      <c r="B41" s="127"/>
      <c r="C41" s="157">
        <f>SUM(C34:C40)</f>
        <v>1322659.3200000003</v>
      </c>
      <c r="D41" s="158"/>
      <c r="E41" s="157">
        <f>SUM(E34:E40)</f>
        <v>1254618.2009999994</v>
      </c>
    </row>
    <row r="42" spans="2:5" ht="12.75">
      <c r="B42" s="127"/>
      <c r="C42" s="137"/>
      <c r="D42" s="137"/>
      <c r="E42" s="137"/>
    </row>
    <row r="43" spans="3:5" ht="12.75">
      <c r="C43" s="137"/>
      <c r="E43" s="137"/>
    </row>
    <row r="44" spans="1:5" ht="12.75">
      <c r="A44" s="148" t="s">
        <v>198</v>
      </c>
      <c r="B44" s="127" t="s">
        <v>255</v>
      </c>
      <c r="C44" s="147" t="s">
        <v>209</v>
      </c>
      <c r="D44" s="137"/>
      <c r="E44" s="137">
        <v>-218829</v>
      </c>
    </row>
    <row r="45" spans="1:5" ht="12.75">
      <c r="A45" s="148"/>
      <c r="B45" s="127"/>
      <c r="C45" s="137"/>
      <c r="D45" s="137"/>
      <c r="E45" s="137"/>
    </row>
    <row r="46" spans="2:5" ht="12.75">
      <c r="B46" s="127"/>
      <c r="C46" s="137"/>
      <c r="D46" s="137"/>
      <c r="E46" s="137"/>
    </row>
    <row r="47" spans="1:5" ht="13.5" thickBot="1">
      <c r="A47" s="156" t="s">
        <v>56</v>
      </c>
      <c r="B47" s="127"/>
      <c r="C47" s="159">
        <f>SUM(C41:C44)</f>
        <v>1322659.3200000003</v>
      </c>
      <c r="D47" s="134"/>
      <c r="E47" s="159">
        <f>SUM(E41:E44)</f>
        <v>1035789.2009999994</v>
      </c>
    </row>
    <row r="48" spans="1:5" ht="13.5" thickTop="1">
      <c r="A48" s="156"/>
      <c r="B48" s="127"/>
      <c r="C48" s="134"/>
      <c r="D48" s="134"/>
      <c r="E48" s="134"/>
    </row>
    <row r="49" spans="1:5" ht="12.75">
      <c r="A49" s="128" t="s">
        <v>256</v>
      </c>
      <c r="B49" s="127"/>
      <c r="C49" s="134">
        <v>0</v>
      </c>
      <c r="D49" s="134"/>
      <c r="E49" s="160">
        <v>330000</v>
      </c>
    </row>
    <row r="50" spans="1:5" ht="12.75">
      <c r="A50" s="156"/>
      <c r="B50" s="127"/>
      <c r="C50" s="134"/>
      <c r="D50" s="134"/>
      <c r="E50" s="134"/>
    </row>
    <row r="51" spans="1:5" ht="13.5" thickBot="1">
      <c r="A51" s="156" t="s">
        <v>22</v>
      </c>
      <c r="B51" s="127"/>
      <c r="C51" s="159">
        <f>C47-C49</f>
        <v>1322659.3200000003</v>
      </c>
      <c r="D51" s="137"/>
      <c r="E51" s="159">
        <f>E47-E49</f>
        <v>705789.2009999994</v>
      </c>
    </row>
    <row r="52" spans="1:5" ht="13.5" thickTop="1">
      <c r="A52" s="156"/>
      <c r="B52" s="127"/>
      <c r="C52" s="137"/>
      <c r="D52" s="137"/>
      <c r="E52" s="137"/>
    </row>
    <row r="53" spans="2:5" ht="12.75">
      <c r="B53" s="127"/>
      <c r="C53" s="137"/>
      <c r="D53" s="137"/>
      <c r="E53" s="137"/>
    </row>
    <row r="54" spans="1:6" ht="12.75">
      <c r="A54" s="126" t="s">
        <v>220</v>
      </c>
      <c r="B54" s="127"/>
      <c r="C54" s="147" t="s">
        <v>209</v>
      </c>
      <c r="D54" s="137"/>
      <c r="E54" s="147" t="s">
        <v>209</v>
      </c>
      <c r="F54" s="137"/>
    </row>
    <row r="55" spans="2:5" ht="12.75">
      <c r="B55" s="127"/>
      <c r="C55" s="137"/>
      <c r="D55" s="137"/>
      <c r="E55" s="137"/>
    </row>
    <row r="56" spans="2:5" ht="12.75">
      <c r="B56" s="127"/>
      <c r="C56" s="137"/>
      <c r="D56" s="137"/>
      <c r="E56" s="137"/>
    </row>
    <row r="57" spans="1:5" ht="13.5" thickBot="1">
      <c r="A57" s="161" t="s">
        <v>257</v>
      </c>
      <c r="B57" s="127"/>
      <c r="C57" s="152">
        <f>SUM(C51:C56)</f>
        <v>1322659.3200000003</v>
      </c>
      <c r="D57" s="134"/>
      <c r="E57" s="152">
        <f>SUM(E51:E56)</f>
        <v>705789.2009999994</v>
      </c>
    </row>
    <row r="58" spans="2:5" ht="13.5" thickTop="1">
      <c r="B58" s="127"/>
      <c r="C58" s="137"/>
      <c r="D58" s="137"/>
      <c r="E58" s="137"/>
    </row>
    <row r="59" spans="2:5" ht="12.75">
      <c r="B59" s="127"/>
      <c r="C59" s="162">
        <v>1322659.32</v>
      </c>
      <c r="D59" s="137"/>
      <c r="E59" s="137"/>
    </row>
    <row r="60" spans="2:5" ht="12.75">
      <c r="B60" s="127"/>
      <c r="C60" s="137"/>
      <c r="D60" s="137"/>
      <c r="E60" s="137"/>
    </row>
    <row r="61" spans="2:5" ht="12.75">
      <c r="B61" s="127"/>
      <c r="C61" s="137">
        <f>+C57-C59</f>
        <v>0</v>
      </c>
      <c r="D61" s="137"/>
      <c r="E61" s="137"/>
    </row>
    <row r="62" spans="2:5" ht="12.75">
      <c r="B62" s="127"/>
      <c r="C62" s="137"/>
      <c r="D62" s="137"/>
      <c r="E62" s="137"/>
    </row>
    <row r="63" spans="2:5" ht="12.75">
      <c r="B63" s="127"/>
      <c r="C63" s="137"/>
      <c r="D63" s="137"/>
      <c r="E63" s="137"/>
    </row>
    <row r="64" spans="2:5" ht="12.75">
      <c r="B64" s="127"/>
      <c r="C64" s="137"/>
      <c r="D64" s="137"/>
      <c r="E64" s="137"/>
    </row>
    <row r="65" spans="2:5" ht="12.75">
      <c r="B65" s="127"/>
      <c r="C65" s="137"/>
      <c r="D65" s="137"/>
      <c r="E65" s="137"/>
    </row>
    <row r="66" spans="2:5" ht="12.75">
      <c r="B66" s="127"/>
      <c r="C66" s="137"/>
      <c r="D66" s="137"/>
      <c r="E66" s="137"/>
    </row>
    <row r="67" spans="2:5" ht="12.75">
      <c r="B67" s="127"/>
      <c r="C67" s="137"/>
      <c r="D67" s="137"/>
      <c r="E67" s="137"/>
    </row>
    <row r="68" spans="2:5" ht="12.75">
      <c r="B68" s="127"/>
      <c r="C68" s="137"/>
      <c r="D68" s="137"/>
      <c r="E68" s="137"/>
    </row>
    <row r="69" spans="2:5" ht="12.75">
      <c r="B69" s="127"/>
      <c r="C69" s="137"/>
      <c r="D69" s="137"/>
      <c r="E69" s="137"/>
    </row>
    <row r="70" spans="2:5" ht="12.75">
      <c r="B70" s="127"/>
      <c r="C70" s="137"/>
      <c r="D70" s="137"/>
      <c r="E70" s="137"/>
    </row>
    <row r="71" spans="2:5" ht="12.75">
      <c r="B71" s="127"/>
      <c r="C71" s="137"/>
      <c r="D71" s="137"/>
      <c r="E71" s="137"/>
    </row>
    <row r="72" spans="2:5" ht="12.75">
      <c r="B72" s="127"/>
      <c r="C72" s="137"/>
      <c r="D72" s="137"/>
      <c r="E72" s="137"/>
    </row>
    <row r="73" spans="2:5" ht="12.75">
      <c r="B73" s="127"/>
      <c r="C73" s="137"/>
      <c r="D73" s="137"/>
      <c r="E73" s="137"/>
    </row>
    <row r="74" spans="2:5" ht="12.75">
      <c r="B74" s="127"/>
      <c r="C74" s="137"/>
      <c r="D74" s="137"/>
      <c r="E74" s="137"/>
    </row>
    <row r="75" spans="2:5" ht="12.75">
      <c r="B75" s="127"/>
      <c r="C75" s="137"/>
      <c r="D75" s="137"/>
      <c r="E75" s="137"/>
    </row>
    <row r="76" spans="2:5" ht="12.75">
      <c r="B76" s="127"/>
      <c r="C76" s="137"/>
      <c r="D76" s="137"/>
      <c r="E76" s="137"/>
    </row>
    <row r="77" spans="2:5" ht="12.75">
      <c r="B77" s="127"/>
      <c r="C77" s="137"/>
      <c r="D77" s="137"/>
      <c r="E77" s="137"/>
    </row>
    <row r="78" spans="2:5" ht="12.75">
      <c r="B78" s="127"/>
      <c r="C78" s="137"/>
      <c r="D78" s="137"/>
      <c r="E78" s="137"/>
    </row>
    <row r="79" spans="2:5" ht="12.75">
      <c r="B79" s="127"/>
      <c r="C79" s="137"/>
      <c r="D79" s="137"/>
      <c r="E79" s="137"/>
    </row>
    <row r="80" spans="2:5" ht="12.75">
      <c r="B80" s="127"/>
      <c r="C80" s="137"/>
      <c r="D80" s="137"/>
      <c r="E80" s="137"/>
    </row>
    <row r="81" spans="2:5" ht="12.75">
      <c r="B81" s="127"/>
      <c r="C81" s="137"/>
      <c r="D81" s="137"/>
      <c r="E81" s="137"/>
    </row>
    <row r="82" spans="2:5" ht="12.75">
      <c r="B82" s="127"/>
      <c r="C82" s="137"/>
      <c r="D82" s="137"/>
      <c r="E82" s="137"/>
    </row>
    <row r="83" spans="2:5" ht="12.75">
      <c r="B83" s="127"/>
      <c r="C83" s="137"/>
      <c r="D83" s="137"/>
      <c r="E83" s="137"/>
    </row>
    <row r="84" spans="2:5" ht="12.75">
      <c r="B84" s="127"/>
      <c r="C84" s="137"/>
      <c r="D84" s="137"/>
      <c r="E84" s="137"/>
    </row>
    <row r="85" spans="2:5" ht="12.75">
      <c r="B85" s="127"/>
      <c r="C85" s="137"/>
      <c r="D85" s="137"/>
      <c r="E85" s="137"/>
    </row>
    <row r="86" spans="2:5" ht="12.75">
      <c r="B86" s="127"/>
      <c r="C86" s="137"/>
      <c r="D86" s="137"/>
      <c r="E86" s="137"/>
    </row>
    <row r="87" spans="2:5" ht="12.75">
      <c r="B87" s="127"/>
      <c r="C87" s="137"/>
      <c r="D87" s="137"/>
      <c r="E87" s="137"/>
    </row>
    <row r="88" spans="2:5" ht="12.75">
      <c r="B88" s="127"/>
      <c r="C88" s="137"/>
      <c r="D88" s="137"/>
      <c r="E88" s="137"/>
    </row>
    <row r="89" spans="2:5" ht="12.75">
      <c r="B89" s="127"/>
      <c r="C89" s="137"/>
      <c r="D89" s="137"/>
      <c r="E89" s="137"/>
    </row>
    <row r="90" spans="2:5" ht="12.75">
      <c r="B90" s="127"/>
      <c r="C90" s="137"/>
      <c r="D90" s="137"/>
      <c r="E90" s="137"/>
    </row>
    <row r="91" spans="2:5" ht="12.75">
      <c r="B91" s="127"/>
      <c r="C91" s="137"/>
      <c r="D91" s="137"/>
      <c r="E91" s="137"/>
    </row>
    <row r="92" spans="2:5" ht="12.75">
      <c r="B92" s="127"/>
      <c r="C92" s="137"/>
      <c r="D92" s="137"/>
      <c r="E92" s="137"/>
    </row>
    <row r="93" spans="2:5" ht="12.75">
      <c r="B93" s="127"/>
      <c r="C93" s="137"/>
      <c r="D93" s="137"/>
      <c r="E93" s="137"/>
    </row>
    <row r="94" spans="2:5" ht="12.75">
      <c r="B94" s="127"/>
      <c r="C94" s="137"/>
      <c r="D94" s="137"/>
      <c r="E94" s="137"/>
    </row>
    <row r="95" spans="2:5" ht="12.75">
      <c r="B95" s="127"/>
      <c r="C95" s="137"/>
      <c r="D95" s="137"/>
      <c r="E95" s="137"/>
    </row>
    <row r="96" spans="2:5" ht="12.75">
      <c r="B96" s="127"/>
      <c r="C96" s="137"/>
      <c r="D96" s="137"/>
      <c r="E96" s="137"/>
    </row>
    <row r="97" spans="2:5" ht="12.75">
      <c r="B97" s="127"/>
      <c r="C97" s="137"/>
      <c r="D97" s="137"/>
      <c r="E97" s="137"/>
    </row>
    <row r="98" ht="12.75">
      <c r="B98" s="127"/>
    </row>
    <row r="99" ht="12.75">
      <c r="B99" s="127"/>
    </row>
    <row r="100" ht="12.75">
      <c r="B100" s="127"/>
    </row>
    <row r="101" ht="12.75">
      <c r="B101" s="127"/>
    </row>
    <row r="102" ht="12.75">
      <c r="B102" s="127"/>
    </row>
    <row r="103" ht="12.75">
      <c r="B103" s="127"/>
    </row>
    <row r="104" ht="12.75">
      <c r="B104" s="127"/>
    </row>
    <row r="105" ht="12.75">
      <c r="B105" s="127"/>
    </row>
    <row r="106" ht="12.75">
      <c r="B106" s="127"/>
    </row>
    <row r="107" ht="12.75">
      <c r="B107" s="127"/>
    </row>
    <row r="108" ht="12.75">
      <c r="B108" s="127"/>
    </row>
    <row r="109" ht="12.75">
      <c r="B109" s="127"/>
    </row>
    <row r="110" ht="12.75">
      <c r="B110" s="127"/>
    </row>
    <row r="111" ht="12.75">
      <c r="B111" s="127"/>
    </row>
    <row r="112" ht="12.75">
      <c r="B112" s="127"/>
    </row>
    <row r="113" ht="12.75">
      <c r="B113" s="127"/>
    </row>
    <row r="114" ht="12.75">
      <c r="B114" s="127"/>
    </row>
    <row r="115" ht="12.75">
      <c r="B115" s="127"/>
    </row>
    <row r="116" ht="12.75">
      <c r="B116" s="127"/>
    </row>
    <row r="117" ht="12.75">
      <c r="B117" s="127"/>
    </row>
    <row r="118" ht="12.75">
      <c r="B118" s="127"/>
    </row>
    <row r="119" ht="12.75">
      <c r="B119" s="127"/>
    </row>
    <row r="120" ht="12.75">
      <c r="B120" s="127"/>
    </row>
    <row r="121" ht="12.75">
      <c r="B121" s="127"/>
    </row>
    <row r="122" ht="12.75">
      <c r="B122" s="127"/>
    </row>
    <row r="123" ht="12.75">
      <c r="B123" s="127"/>
    </row>
    <row r="124" ht="12.75">
      <c r="B124" s="127"/>
    </row>
    <row r="125" ht="12.75">
      <c r="B125" s="127"/>
    </row>
    <row r="126" ht="12.75">
      <c r="B126" s="127"/>
    </row>
    <row r="127" ht="12.75">
      <c r="B127" s="127"/>
    </row>
    <row r="128" ht="12.75">
      <c r="B128" s="127"/>
    </row>
    <row r="129" ht="12.75">
      <c r="B129" s="127"/>
    </row>
    <row r="130" ht="12.75">
      <c r="B130" s="127"/>
    </row>
    <row r="131" ht="12.75">
      <c r="B131" s="127"/>
    </row>
    <row r="132" ht="12.75">
      <c r="B132" s="127"/>
    </row>
    <row r="133" ht="12.75">
      <c r="B133" s="127"/>
    </row>
    <row r="134" ht="12.75">
      <c r="B134" s="127"/>
    </row>
    <row r="135" ht="12.75">
      <c r="B135" s="127"/>
    </row>
    <row r="136" ht="12.75">
      <c r="B136" s="127"/>
    </row>
    <row r="137" ht="12.75">
      <c r="B137" s="127"/>
    </row>
    <row r="138" ht="12.75">
      <c r="B138" s="127"/>
    </row>
    <row r="139" ht="12.75">
      <c r="B139" s="127"/>
    </row>
    <row r="140" ht="12.75">
      <c r="B140" s="127"/>
    </row>
    <row r="141" ht="12.75">
      <c r="B141" s="127"/>
    </row>
    <row r="142" ht="12.75">
      <c r="B142" s="127"/>
    </row>
    <row r="143" ht="12.75">
      <c r="B143" s="127"/>
    </row>
    <row r="144" ht="12.75">
      <c r="B144" s="127"/>
    </row>
    <row r="145" ht="12.75">
      <c r="B145" s="127"/>
    </row>
    <row r="146" ht="12.75">
      <c r="B146" s="127"/>
    </row>
    <row r="147" ht="12.75">
      <c r="B147" s="127"/>
    </row>
    <row r="148" ht="12.75">
      <c r="B148" s="127"/>
    </row>
    <row r="149" ht="12.75">
      <c r="B149" s="127"/>
    </row>
    <row r="150" ht="12.75">
      <c r="B150" s="127"/>
    </row>
    <row r="151" ht="12.75">
      <c r="B151" s="127"/>
    </row>
    <row r="152" ht="12.75">
      <c r="B152" s="127"/>
    </row>
    <row r="153" ht="12.75">
      <c r="B153" s="127"/>
    </row>
    <row r="154" ht="12.75">
      <c r="B154" s="127"/>
    </row>
    <row r="155" ht="12.75">
      <c r="B155" s="127"/>
    </row>
    <row r="156" ht="12.75">
      <c r="B156" s="127"/>
    </row>
    <row r="157" ht="12.75">
      <c r="B157" s="127"/>
    </row>
    <row r="158" ht="12.75">
      <c r="B158" s="127"/>
    </row>
    <row r="159" ht="12.75">
      <c r="B159" s="127"/>
    </row>
    <row r="160" ht="12.75">
      <c r="B160" s="127"/>
    </row>
    <row r="161" ht="12.75">
      <c r="B161" s="127"/>
    </row>
    <row r="162" ht="12.75">
      <c r="B162" s="127"/>
    </row>
    <row r="163" ht="12.75">
      <c r="B163" s="127"/>
    </row>
    <row r="164" ht="12.75">
      <c r="B164" s="127"/>
    </row>
    <row r="165" ht="12.75">
      <c r="B165" s="127"/>
    </row>
    <row r="166" ht="12.75">
      <c r="B166" s="127"/>
    </row>
    <row r="167" ht="12.75">
      <c r="B167" s="127"/>
    </row>
    <row r="168" ht="12.75">
      <c r="B168" s="127"/>
    </row>
    <row r="169" ht="12.75">
      <c r="B169" s="127"/>
    </row>
    <row r="170" ht="12.75">
      <c r="B170" s="127"/>
    </row>
    <row r="171" ht="12.75">
      <c r="B171" s="127"/>
    </row>
    <row r="172" ht="12.75">
      <c r="B172" s="127"/>
    </row>
    <row r="173" ht="12.75">
      <c r="B173" s="127"/>
    </row>
    <row r="174" ht="12.75">
      <c r="B174" s="127"/>
    </row>
    <row r="175" ht="12.75">
      <c r="B175" s="127"/>
    </row>
    <row r="176" ht="12.75">
      <c r="B176" s="127"/>
    </row>
    <row r="177" ht="12.75">
      <c r="B177" s="127"/>
    </row>
    <row r="178" ht="12.75">
      <c r="B178" s="127"/>
    </row>
    <row r="179" ht="12.75">
      <c r="B179" s="127"/>
    </row>
    <row r="180" ht="12.75">
      <c r="B180" s="127"/>
    </row>
    <row r="181" ht="12.75">
      <c r="B181" s="127"/>
    </row>
    <row r="182" ht="12.75">
      <c r="B182" s="127"/>
    </row>
    <row r="183" ht="12.75">
      <c r="B183" s="127"/>
    </row>
    <row r="184" ht="12.75">
      <c r="B184" s="127"/>
    </row>
    <row r="185" ht="12.75">
      <c r="B185" s="127"/>
    </row>
    <row r="186" ht="12.75">
      <c r="B186" s="127"/>
    </row>
    <row r="187" ht="12.75">
      <c r="B187" s="127"/>
    </row>
    <row r="188" ht="12.75">
      <c r="B188" s="127"/>
    </row>
    <row r="189" ht="12.75">
      <c r="B189" s="127"/>
    </row>
    <row r="190" ht="12.75">
      <c r="B190" s="127"/>
    </row>
    <row r="191" ht="12.75">
      <c r="B191" s="127"/>
    </row>
    <row r="192" ht="12.75">
      <c r="B192" s="127"/>
    </row>
    <row r="193" ht="12.75">
      <c r="B193" s="127"/>
    </row>
    <row r="194" ht="12.75">
      <c r="B194" s="127"/>
    </row>
    <row r="195" ht="12.75">
      <c r="B195" s="127"/>
    </row>
    <row r="196" ht="12.75">
      <c r="B196" s="127"/>
    </row>
    <row r="197" ht="12.75">
      <c r="B197" s="127"/>
    </row>
    <row r="198" ht="12.75">
      <c r="B198" s="127"/>
    </row>
    <row r="199" ht="12.75">
      <c r="B199" s="127"/>
    </row>
    <row r="200" ht="12.75">
      <c r="B200" s="127"/>
    </row>
    <row r="201" ht="12.75">
      <c r="B201" s="127"/>
    </row>
    <row r="202" ht="12.75">
      <c r="B202" s="127"/>
    </row>
    <row r="203" ht="12.75">
      <c r="B203" s="127"/>
    </row>
    <row r="204" ht="12.75">
      <c r="B204" s="127"/>
    </row>
    <row r="205" ht="12.75">
      <c r="B205" s="127"/>
    </row>
    <row r="206" ht="12.75">
      <c r="B206" s="127"/>
    </row>
  </sheetData>
  <sheetProtection/>
  <mergeCells count="4">
    <mergeCell ref="A5:E5"/>
    <mergeCell ref="A7:E7"/>
    <mergeCell ref="A9:E9"/>
    <mergeCell ref="C13:E13"/>
  </mergeCells>
  <printOptions/>
  <pageMargins left="0.787401575" right="0.56" top="0.73" bottom="0.46" header="0.4921259845" footer="0.4921259845"/>
  <pageSetup horizontalDpi="600" verticalDpi="600" orientation="portrait" paperSize="9" scale="93" r:id="rId1"/>
  <headerFooter alignWithMargins="0">
    <oddFooter>&amp;C3</oddFooter>
  </headerFooter>
</worksheet>
</file>

<file path=xl/worksheets/sheet3.xml><?xml version="1.0" encoding="utf-8"?>
<worksheet xmlns="http://schemas.openxmlformats.org/spreadsheetml/2006/main" xmlns:r="http://schemas.openxmlformats.org/officeDocument/2006/relationships">
  <dimension ref="A2:H168"/>
  <sheetViews>
    <sheetView zoomScalePageLayoutView="0" workbookViewId="0" topLeftCell="A103">
      <selection activeCell="A127" sqref="A127"/>
    </sheetView>
  </sheetViews>
  <sheetFormatPr defaultColWidth="11.421875" defaultRowHeight="15.75" customHeight="1"/>
  <cols>
    <col min="1" max="1" width="5.8515625" style="1" customWidth="1"/>
    <col min="2" max="2" width="41.8515625" style="1" bestFit="1" customWidth="1"/>
    <col min="3" max="3" width="8.7109375" style="7" customWidth="1"/>
    <col min="4" max="4" width="14.00390625" style="7" bestFit="1" customWidth="1"/>
    <col min="5" max="5" width="12.8515625" style="7" customWidth="1"/>
    <col min="6" max="6" width="19.140625" style="1" bestFit="1" customWidth="1"/>
    <col min="7" max="7" width="14.00390625" style="114" bestFit="1" customWidth="1"/>
    <col min="8" max="16384" width="11.421875" style="1" customWidth="1"/>
  </cols>
  <sheetData>
    <row r="2" spans="1:5" ht="25.5" customHeight="1">
      <c r="A2" s="166" t="s">
        <v>1</v>
      </c>
      <c r="B2" s="166"/>
      <c r="C2" s="166"/>
      <c r="D2" s="166"/>
      <c r="E2" s="166"/>
    </row>
    <row r="3" spans="1:5" ht="15.75" customHeight="1">
      <c r="A3" s="165" t="s">
        <v>2</v>
      </c>
      <c r="B3" s="165"/>
      <c r="C3" s="165"/>
      <c r="D3" s="165"/>
      <c r="E3" s="165"/>
    </row>
    <row r="4" ht="15.75" customHeight="1">
      <c r="B4" s="2"/>
    </row>
    <row r="6" spans="2:7" s="8" customFormat="1" ht="15.75" customHeight="1">
      <c r="B6" s="9" t="s">
        <v>0</v>
      </c>
      <c r="C6" s="10" t="s">
        <v>31</v>
      </c>
      <c r="D6" s="105">
        <v>40178</v>
      </c>
      <c r="E6" s="105">
        <v>39813</v>
      </c>
      <c r="G6" s="115"/>
    </row>
    <row r="8" spans="1:6" ht="15.75" customHeight="1">
      <c r="A8" s="5" t="s">
        <v>3</v>
      </c>
      <c r="C8" s="11"/>
      <c r="D8" s="11"/>
      <c r="E8" s="11" t="s">
        <v>187</v>
      </c>
      <c r="F8" s="124"/>
    </row>
    <row r="9" spans="3:6" ht="15.75" customHeight="1">
      <c r="C9" s="11"/>
      <c r="D9" s="11"/>
      <c r="E9" s="11" t="s">
        <v>188</v>
      </c>
      <c r="F9" s="124"/>
    </row>
    <row r="10" spans="3:5" ht="15.75" customHeight="1">
      <c r="C10" s="11"/>
      <c r="D10" s="11"/>
      <c r="E10" s="11"/>
    </row>
    <row r="11" spans="1:7" ht="15.75" customHeight="1">
      <c r="A11" s="5" t="s">
        <v>45</v>
      </c>
      <c r="B11" s="5"/>
      <c r="C11" s="11"/>
      <c r="D11" s="11"/>
      <c r="E11" s="11"/>
      <c r="F11" s="41"/>
      <c r="G11" s="123"/>
    </row>
    <row r="12" spans="1:8" ht="15.75" customHeight="1">
      <c r="A12" s="5"/>
      <c r="C12" s="11"/>
      <c r="D12" s="11"/>
      <c r="E12" s="11"/>
      <c r="F12" s="69"/>
      <c r="G12" s="116"/>
      <c r="H12" s="70"/>
    </row>
    <row r="13" spans="1:8" ht="15.75" customHeight="1">
      <c r="A13" s="5"/>
      <c r="B13" s="22" t="s">
        <v>47</v>
      </c>
      <c r="C13" s="13"/>
      <c r="D13" s="13"/>
      <c r="E13" s="13"/>
      <c r="F13" s="71"/>
      <c r="G13" s="116"/>
      <c r="H13" s="70"/>
    </row>
    <row r="14" spans="3:8" ht="15.75" customHeight="1">
      <c r="C14" s="13"/>
      <c r="D14" s="13"/>
      <c r="E14" s="13"/>
      <c r="F14" s="72"/>
      <c r="H14" s="73"/>
    </row>
    <row r="15" spans="2:8" ht="15.75" customHeight="1">
      <c r="B15" s="1" t="s">
        <v>28</v>
      </c>
      <c r="C15" s="14"/>
      <c r="D15" s="74">
        <v>0</v>
      </c>
      <c r="E15" s="74">
        <v>0</v>
      </c>
      <c r="F15" s="75"/>
      <c r="G15" s="117"/>
      <c r="H15" s="76"/>
    </row>
    <row r="16" spans="2:8" ht="15.75" customHeight="1">
      <c r="B16" s="1" t="s">
        <v>46</v>
      </c>
      <c r="C16" s="14"/>
      <c r="D16" s="74">
        <v>0</v>
      </c>
      <c r="E16" s="74">
        <v>0</v>
      </c>
      <c r="F16" s="75"/>
      <c r="G16" s="118"/>
      <c r="H16" s="77"/>
    </row>
    <row r="17" spans="3:8" ht="15.75" customHeight="1">
      <c r="C17" s="14"/>
      <c r="D17" s="14"/>
      <c r="E17" s="1"/>
      <c r="F17" s="75"/>
      <c r="G17" s="118"/>
      <c r="H17" s="77"/>
    </row>
    <row r="18" spans="2:8" ht="15.75" customHeight="1">
      <c r="B18" s="1" t="s">
        <v>4</v>
      </c>
      <c r="C18" s="14"/>
      <c r="D18" s="74">
        <f>+'A 10'!C20</f>
        <v>5897719.328000001</v>
      </c>
      <c r="E18" s="74">
        <f>+'A 10'!E20</f>
        <v>4434530</v>
      </c>
      <c r="F18" s="113"/>
      <c r="G18" s="117"/>
      <c r="H18" s="76"/>
    </row>
    <row r="19" spans="2:8" ht="15.75" customHeight="1">
      <c r="B19" s="1" t="s">
        <v>46</v>
      </c>
      <c r="C19" s="14"/>
      <c r="D19" s="74">
        <f>+'A 10'!C21</f>
        <v>-3645602.7860000003</v>
      </c>
      <c r="E19" s="74">
        <f>+'A 10'!E21</f>
        <v>-3550339</v>
      </c>
      <c r="F19" s="113"/>
      <c r="G19" s="117"/>
      <c r="H19" s="77"/>
    </row>
    <row r="20" spans="3:8" ht="15.75" customHeight="1">
      <c r="C20" s="14"/>
      <c r="D20" s="14"/>
      <c r="E20" s="14"/>
      <c r="F20" s="113"/>
      <c r="G20" s="117"/>
      <c r="H20" s="76"/>
    </row>
    <row r="21" spans="2:8" ht="15.75" customHeight="1">
      <c r="B21" s="1" t="s">
        <v>5</v>
      </c>
      <c r="C21" s="14"/>
      <c r="D21" s="74">
        <f>+'A 10'!C25</f>
        <v>1737013.899</v>
      </c>
      <c r="E21" s="74">
        <f>+'A 10'!E25</f>
        <v>1777014</v>
      </c>
      <c r="F21" s="113"/>
      <c r="G21" s="117"/>
      <c r="H21" s="76"/>
    </row>
    <row r="22" spans="2:8" ht="15.75" customHeight="1">
      <c r="B22" s="1" t="s">
        <v>146</v>
      </c>
      <c r="C22" s="14"/>
      <c r="D22" s="74"/>
      <c r="E22" s="74"/>
      <c r="F22" s="113"/>
      <c r="G22" s="117"/>
      <c r="H22" s="76"/>
    </row>
    <row r="23" spans="1:8" ht="15.75" customHeight="1">
      <c r="A23" s="12" t="s">
        <v>48</v>
      </c>
      <c r="B23" s="5"/>
      <c r="C23" s="1"/>
      <c r="D23" s="78">
        <f>+D15+D16+D18+D19+D21+D22</f>
        <v>3989130.4410000006</v>
      </c>
      <c r="E23" s="78">
        <f>+E15+E16+E18+E19+E21+E22</f>
        <v>2661205</v>
      </c>
      <c r="F23" s="113"/>
      <c r="G23" s="117"/>
      <c r="H23" s="76"/>
    </row>
    <row r="24" spans="3:8" ht="15.75" customHeight="1">
      <c r="C24" s="14"/>
      <c r="D24" s="14"/>
      <c r="E24" s="14"/>
      <c r="F24" s="113"/>
      <c r="G24" s="117"/>
      <c r="H24" s="76"/>
    </row>
    <row r="25" spans="2:8" ht="15.75" customHeight="1">
      <c r="B25" s="1" t="s">
        <v>29</v>
      </c>
      <c r="C25" s="1"/>
      <c r="D25" s="74">
        <v>0</v>
      </c>
      <c r="E25" s="74">
        <v>0</v>
      </c>
      <c r="F25" s="113"/>
      <c r="G25" s="117"/>
      <c r="H25" s="79"/>
    </row>
    <row r="26" spans="3:8" ht="15.75" customHeight="1">
      <c r="C26" s="1"/>
      <c r="D26" s="1"/>
      <c r="E26" s="1"/>
      <c r="F26" s="113"/>
      <c r="G26" s="117"/>
      <c r="H26" s="79"/>
    </row>
    <row r="27" spans="1:8" ht="15.75" customHeight="1">
      <c r="A27" s="3" t="s">
        <v>49</v>
      </c>
      <c r="C27" s="14"/>
      <c r="D27" s="80">
        <f>+D23+D25</f>
        <v>3989130.4410000006</v>
      </c>
      <c r="E27" s="80">
        <f>+E23+E25</f>
        <v>2661205</v>
      </c>
      <c r="F27" s="113"/>
      <c r="G27" s="117"/>
      <c r="H27" s="76"/>
    </row>
    <row r="28" spans="1:8" ht="15.75" customHeight="1">
      <c r="A28" s="5"/>
      <c r="C28" s="14"/>
      <c r="D28" s="14"/>
      <c r="E28" s="14"/>
      <c r="F28" s="113"/>
      <c r="G28" s="117"/>
      <c r="H28" s="76"/>
    </row>
    <row r="29" spans="1:8" ht="15.75" customHeight="1">
      <c r="A29" s="5" t="s">
        <v>50</v>
      </c>
      <c r="B29" s="5"/>
      <c r="C29" s="14"/>
      <c r="D29" s="14"/>
      <c r="E29" s="14"/>
      <c r="F29" s="113"/>
      <c r="G29" s="117"/>
      <c r="H29" s="79"/>
    </row>
    <row r="30" spans="3:8" ht="15.75" customHeight="1">
      <c r="C30" s="14"/>
      <c r="D30" s="14"/>
      <c r="E30" s="14"/>
      <c r="F30" s="113"/>
      <c r="G30" s="117"/>
      <c r="H30" s="76"/>
    </row>
    <row r="31" spans="2:8" ht="15.75" customHeight="1">
      <c r="B31" s="1" t="s">
        <v>37</v>
      </c>
      <c r="C31" s="14"/>
      <c r="D31" s="74">
        <f>+'A 10'!C35</f>
        <v>2173708.997</v>
      </c>
      <c r="E31" s="74">
        <f>+'A 10'!E35</f>
        <v>1782047</v>
      </c>
      <c r="F31" s="113"/>
      <c r="G31" s="117"/>
      <c r="H31" s="70"/>
    </row>
    <row r="32" spans="2:8" ht="15.75" customHeight="1">
      <c r="B32" s="1" t="s">
        <v>147</v>
      </c>
      <c r="C32" s="14"/>
      <c r="D32" s="74">
        <v>0</v>
      </c>
      <c r="E32" s="74">
        <f>+'A 10'!E36</f>
        <v>0</v>
      </c>
      <c r="F32" s="113"/>
      <c r="G32" s="117"/>
      <c r="H32" s="76"/>
    </row>
    <row r="33" spans="2:8" ht="15.75" customHeight="1">
      <c r="B33" s="1" t="s">
        <v>18</v>
      </c>
      <c r="C33" s="14"/>
      <c r="D33" s="74">
        <f>+'A 10'!C40</f>
        <v>2457723.3400000003</v>
      </c>
      <c r="E33" s="74">
        <f>+'A 10'!E40</f>
        <v>2057599</v>
      </c>
      <c r="F33" s="113"/>
      <c r="G33" s="117"/>
      <c r="H33" s="76"/>
    </row>
    <row r="34" spans="2:8" ht="15.75" customHeight="1">
      <c r="B34" s="1" t="s">
        <v>30</v>
      </c>
      <c r="C34" s="14"/>
      <c r="D34" s="74">
        <f>+'A 10'!C41</f>
        <v>-188184.427</v>
      </c>
      <c r="E34" s="74">
        <f>+'A 10'!E41</f>
        <v>-189770</v>
      </c>
      <c r="F34" s="113"/>
      <c r="G34" s="117"/>
      <c r="H34" s="76"/>
    </row>
    <row r="35" spans="2:8" ht="15.75" customHeight="1">
      <c r="B35" s="1" t="s">
        <v>6</v>
      </c>
      <c r="C35" s="14"/>
      <c r="D35" s="74">
        <f>+'A 10'!C46+'A 10'!C45</f>
        <v>1086995.5040000002</v>
      </c>
      <c r="E35" s="74">
        <f>+'A 10'!E45+'A 10'!E46</f>
        <v>1171092</v>
      </c>
      <c r="F35" s="113"/>
      <c r="G35" s="117"/>
      <c r="H35" s="76"/>
    </row>
    <row r="36" spans="2:8" ht="15.75" customHeight="1">
      <c r="B36" s="1" t="s">
        <v>147</v>
      </c>
      <c r="C36" s="14"/>
      <c r="D36" s="74"/>
      <c r="E36" s="74"/>
      <c r="F36" s="113"/>
      <c r="G36" s="117"/>
      <c r="H36" s="76"/>
    </row>
    <row r="37" spans="2:8" ht="15.75" customHeight="1">
      <c r="B37" s="1" t="s">
        <v>149</v>
      </c>
      <c r="C37" s="14"/>
      <c r="D37" s="74">
        <f>+'A 10'!C47</f>
        <v>56949.618</v>
      </c>
      <c r="E37" s="74">
        <f>+'A 10'!E47</f>
        <v>55328</v>
      </c>
      <c r="F37" s="113"/>
      <c r="G37" s="117"/>
      <c r="H37" s="76"/>
    </row>
    <row r="38" spans="2:8" ht="15.75" customHeight="1">
      <c r="B38" s="1" t="s">
        <v>7</v>
      </c>
      <c r="C38" s="14"/>
      <c r="D38" s="74">
        <f>+'A 10'!C48</f>
        <v>906920.95</v>
      </c>
      <c r="E38" s="74">
        <f>+'A 10'!E48</f>
        <v>1376910</v>
      </c>
      <c r="F38" s="113"/>
      <c r="G38" s="117"/>
      <c r="H38" s="76"/>
    </row>
    <row r="39" spans="3:8" ht="15.75" customHeight="1">
      <c r="C39" s="14"/>
      <c r="D39" s="14"/>
      <c r="E39" s="15"/>
      <c r="F39" s="113"/>
      <c r="G39" s="117"/>
      <c r="H39" s="76"/>
    </row>
    <row r="40" spans="6:8" ht="15.75" customHeight="1">
      <c r="F40" s="113"/>
      <c r="G40" s="117"/>
      <c r="H40" s="76"/>
    </row>
    <row r="41" spans="6:8" ht="15.75" customHeight="1">
      <c r="F41" s="113"/>
      <c r="G41" s="117"/>
      <c r="H41" s="76"/>
    </row>
    <row r="42" spans="6:8" s="8" customFormat="1" ht="15.75" customHeight="1">
      <c r="F42" s="113"/>
      <c r="G42" s="117"/>
      <c r="H42" s="79"/>
    </row>
    <row r="43" spans="3:8" ht="15.75" customHeight="1">
      <c r="C43" s="16"/>
      <c r="D43" s="16"/>
      <c r="E43" s="11"/>
      <c r="F43" s="113"/>
      <c r="G43" s="117"/>
      <c r="H43" s="76"/>
    </row>
    <row r="44" spans="3:8" ht="15.75" customHeight="1">
      <c r="C44" s="16"/>
      <c r="D44" s="16"/>
      <c r="E44" s="11"/>
      <c r="F44" s="113"/>
      <c r="G44" s="117"/>
      <c r="H44" s="79"/>
    </row>
    <row r="45" spans="3:8" ht="15.75" customHeight="1">
      <c r="C45" s="16"/>
      <c r="D45" s="16"/>
      <c r="E45" s="11"/>
      <c r="F45" s="113"/>
      <c r="G45" s="117"/>
      <c r="H45" s="76"/>
    </row>
    <row r="46" spans="1:7" ht="15.75" customHeight="1">
      <c r="A46" s="3" t="s">
        <v>51</v>
      </c>
      <c r="B46" s="5"/>
      <c r="C46" s="14"/>
      <c r="D46" s="80">
        <f>SUM(D31:D38)</f>
        <v>6494113.982000001</v>
      </c>
      <c r="E46" s="80">
        <f>SUM(E31:E38)</f>
        <v>6253206</v>
      </c>
      <c r="F46" s="113"/>
      <c r="G46" s="117"/>
    </row>
    <row r="47" spans="3:7" ht="15.75" customHeight="1">
      <c r="C47" s="14"/>
      <c r="D47" s="14"/>
      <c r="E47" s="15"/>
      <c r="F47" s="113"/>
      <c r="G47" s="117"/>
    </row>
    <row r="48" spans="1:7" ht="15.75" customHeight="1">
      <c r="A48" s="3" t="s">
        <v>52</v>
      </c>
      <c r="B48" s="8"/>
      <c r="C48" s="4"/>
      <c r="D48" s="80">
        <f>SUM(D27+D46)</f>
        <v>10483244.423</v>
      </c>
      <c r="E48" s="80">
        <f>SUM(E27+E46)</f>
        <v>8914411</v>
      </c>
      <c r="F48" s="113"/>
      <c r="G48" s="117"/>
    </row>
    <row r="49" spans="3:7" ht="15.75" customHeight="1">
      <c r="C49" s="16"/>
      <c r="D49" s="16"/>
      <c r="E49" s="11"/>
      <c r="F49" s="113"/>
      <c r="G49" s="117"/>
    </row>
    <row r="50" spans="3:7" ht="15.75" customHeight="1">
      <c r="C50" s="17"/>
      <c r="D50" s="17"/>
      <c r="F50" s="113"/>
      <c r="G50" s="117"/>
    </row>
    <row r="51" spans="3:7" ht="15.75" customHeight="1">
      <c r="C51" s="17"/>
      <c r="D51" s="17"/>
      <c r="F51" s="113"/>
      <c r="G51" s="117"/>
    </row>
    <row r="52" spans="3:7" ht="15.75" customHeight="1">
      <c r="C52" s="17"/>
      <c r="D52" s="17"/>
      <c r="F52" s="113"/>
      <c r="G52" s="117"/>
    </row>
    <row r="53" spans="1:7" ht="25.5" customHeight="1">
      <c r="A53" s="166" t="s">
        <v>1</v>
      </c>
      <c r="B53" s="166"/>
      <c r="C53" s="166"/>
      <c r="D53" s="166"/>
      <c r="E53" s="166"/>
      <c r="F53" s="113"/>
      <c r="G53" s="117"/>
    </row>
    <row r="54" spans="1:7" ht="15.75" customHeight="1">
      <c r="A54" s="165" t="s">
        <v>2</v>
      </c>
      <c r="B54" s="165"/>
      <c r="C54" s="165"/>
      <c r="D54" s="165"/>
      <c r="E54" s="165"/>
      <c r="F54" s="113"/>
      <c r="G54" s="117"/>
    </row>
    <row r="55" spans="2:7" ht="15.75" customHeight="1">
      <c r="B55" s="2"/>
      <c r="C55" s="17"/>
      <c r="D55" s="17"/>
      <c r="F55" s="113"/>
      <c r="G55" s="117"/>
    </row>
    <row r="56" spans="3:7" ht="15.75" customHeight="1">
      <c r="C56" s="17"/>
      <c r="D56" s="17"/>
      <c r="F56" s="113"/>
      <c r="G56" s="117"/>
    </row>
    <row r="57" spans="2:7" s="8" customFormat="1" ht="15.75" customHeight="1">
      <c r="B57" s="9" t="s">
        <v>0</v>
      </c>
      <c r="C57" s="10"/>
      <c r="D57" s="105">
        <v>40178</v>
      </c>
      <c r="E57" s="105">
        <v>39813</v>
      </c>
      <c r="F57" s="113"/>
      <c r="G57" s="117"/>
    </row>
    <row r="58" spans="3:7" ht="15.75" customHeight="1">
      <c r="C58" s="17"/>
      <c r="D58" s="17"/>
      <c r="F58" s="113"/>
      <c r="G58" s="117"/>
    </row>
    <row r="59" spans="1:7" ht="15.75" customHeight="1">
      <c r="A59" s="5" t="s">
        <v>36</v>
      </c>
      <c r="C59" s="17"/>
      <c r="D59" s="17"/>
      <c r="F59" s="113"/>
      <c r="G59" s="117"/>
    </row>
    <row r="60" spans="3:7" ht="15.75" customHeight="1">
      <c r="C60" s="17"/>
      <c r="D60" s="17"/>
      <c r="F60" s="113"/>
      <c r="G60" s="117"/>
    </row>
    <row r="61" spans="3:7" ht="15.75" customHeight="1">
      <c r="C61" s="17"/>
      <c r="D61" s="17"/>
      <c r="F61" s="113"/>
      <c r="G61" s="117"/>
    </row>
    <row r="62" spans="1:7" ht="15.75" customHeight="1">
      <c r="A62" s="1" t="s">
        <v>40</v>
      </c>
      <c r="C62" s="16"/>
      <c r="D62" s="16"/>
      <c r="E62" s="11"/>
      <c r="F62" s="113"/>
      <c r="G62" s="117"/>
    </row>
    <row r="63" spans="3:7" ht="15.75" customHeight="1">
      <c r="C63" s="16"/>
      <c r="D63" s="16"/>
      <c r="E63" s="11"/>
      <c r="F63" s="113"/>
      <c r="G63" s="117"/>
    </row>
    <row r="64" spans="3:7" ht="15.75" customHeight="1">
      <c r="C64" s="16"/>
      <c r="D64" s="16"/>
      <c r="E64" s="13"/>
      <c r="F64" s="113"/>
      <c r="G64" s="117"/>
    </row>
    <row r="65" spans="2:7" ht="15.75" customHeight="1">
      <c r="B65" s="1" t="s">
        <v>8</v>
      </c>
      <c r="C65" s="16"/>
      <c r="D65" s="74">
        <f>+'A 10'!C73</f>
        <v>930000</v>
      </c>
      <c r="E65" s="74">
        <f>+'A 10'!E73</f>
        <v>600000</v>
      </c>
      <c r="F65" s="113"/>
      <c r="G65" s="117"/>
    </row>
    <row r="66" spans="2:7" ht="15.75" customHeight="1">
      <c r="B66" s="1" t="s">
        <v>148</v>
      </c>
      <c r="C66" s="16"/>
      <c r="D66" s="74">
        <f>+'A 10'!C74</f>
        <v>2239500</v>
      </c>
      <c r="E66" s="74">
        <f>+'A 10'!E74</f>
        <v>1772000</v>
      </c>
      <c r="F66" s="113"/>
      <c r="G66" s="117"/>
    </row>
    <row r="67" spans="2:7" ht="15.75" customHeight="1">
      <c r="B67" s="1" t="s">
        <v>150</v>
      </c>
      <c r="C67" s="16"/>
      <c r="D67" s="74">
        <f>+'A 10'!C75</f>
        <v>2359500</v>
      </c>
      <c r="E67" s="74">
        <f>+'A 10'!E75+'A 10'!E81</f>
        <v>2689500</v>
      </c>
      <c r="F67" s="113"/>
      <c r="G67" s="117"/>
    </row>
    <row r="68" spans="2:7" ht="15.75" customHeight="1">
      <c r="B68" s="1" t="s">
        <v>151</v>
      </c>
      <c r="C68" s="16"/>
      <c r="D68" s="7">
        <f>+'A 10'!C76</f>
        <v>1508.685</v>
      </c>
      <c r="E68" s="7">
        <f>+'A 10'!E76</f>
        <v>3220</v>
      </c>
      <c r="F68" s="113"/>
      <c r="G68" s="117"/>
    </row>
    <row r="69" spans="1:7" ht="15.75" customHeight="1">
      <c r="A69" s="1" t="s">
        <v>0</v>
      </c>
      <c r="C69" s="16"/>
      <c r="D69" s="16"/>
      <c r="E69" s="16"/>
      <c r="F69" s="113"/>
      <c r="G69" s="117"/>
    </row>
    <row r="70" spans="1:7" ht="15.75" customHeight="1">
      <c r="A70" s="12" t="s">
        <v>38</v>
      </c>
      <c r="C70" s="16"/>
      <c r="D70" s="81">
        <f>SUM(D65:D68)</f>
        <v>5530508.685</v>
      </c>
      <c r="E70" s="81">
        <f>SUM(E65:E68)</f>
        <v>5064720</v>
      </c>
      <c r="F70" s="113"/>
      <c r="G70" s="117"/>
    </row>
    <row r="71" spans="3:7" ht="15.75" customHeight="1">
      <c r="C71" s="16"/>
      <c r="D71" s="16"/>
      <c r="E71" s="16"/>
      <c r="F71" s="113"/>
      <c r="G71" s="117"/>
    </row>
    <row r="72" spans="1:7" s="8" customFormat="1" ht="15.75" customHeight="1">
      <c r="A72" s="8" t="s">
        <v>24</v>
      </c>
      <c r="C72" s="6"/>
      <c r="D72" s="74">
        <f>+'A 10'!C82</f>
        <v>1322659.3200000003</v>
      </c>
      <c r="E72" s="74">
        <f>+'A 10'!E82</f>
        <v>705789</v>
      </c>
      <c r="F72" s="113"/>
      <c r="G72" s="117"/>
    </row>
    <row r="73" spans="3:7" ht="15.75" customHeight="1">
      <c r="C73" s="16"/>
      <c r="D73" s="16"/>
      <c r="E73" s="16"/>
      <c r="F73" s="113"/>
      <c r="G73" s="117"/>
    </row>
    <row r="74" spans="3:7" ht="15.75" customHeight="1">
      <c r="C74" s="16"/>
      <c r="D74" s="16"/>
      <c r="E74" s="16"/>
      <c r="F74" s="113"/>
      <c r="G74" s="117"/>
    </row>
    <row r="75" spans="1:7" ht="15.75" customHeight="1">
      <c r="A75" s="3" t="s">
        <v>39</v>
      </c>
      <c r="C75" s="16"/>
      <c r="D75" s="81">
        <f>D72+D70</f>
        <v>6853168.005</v>
      </c>
      <c r="E75" s="81">
        <f>E72+E70</f>
        <v>5770509</v>
      </c>
      <c r="F75" s="113"/>
      <c r="G75" s="117"/>
    </row>
    <row r="76" spans="3:7" ht="15.75" customHeight="1">
      <c r="C76" s="16"/>
      <c r="D76" s="16"/>
      <c r="E76" s="16"/>
      <c r="F76" s="113"/>
      <c r="G76" s="117"/>
    </row>
    <row r="77" spans="3:7" ht="15.75" customHeight="1">
      <c r="C77" s="16"/>
      <c r="D77" s="16"/>
      <c r="E77" s="16"/>
      <c r="F77" s="113"/>
      <c r="G77" s="117"/>
    </row>
    <row r="78" spans="1:7" ht="15.75" customHeight="1">
      <c r="A78" s="1" t="s">
        <v>41</v>
      </c>
      <c r="C78" s="16"/>
      <c r="D78" s="16"/>
      <c r="E78" s="16"/>
      <c r="F78" s="113"/>
      <c r="G78" s="117"/>
    </row>
    <row r="79" spans="3:7" ht="15.75" customHeight="1">
      <c r="C79" s="16"/>
      <c r="D79" s="16"/>
      <c r="E79" s="16"/>
      <c r="F79" s="113"/>
      <c r="G79" s="117"/>
    </row>
    <row r="80" spans="1:7" ht="15.75" customHeight="1">
      <c r="A80" s="5" t="s">
        <v>34</v>
      </c>
      <c r="C80" s="16"/>
      <c r="D80" s="16"/>
      <c r="E80" s="16"/>
      <c r="F80" s="113"/>
      <c r="G80" s="117"/>
    </row>
    <row r="81" spans="2:7" ht="15.75" customHeight="1">
      <c r="B81" s="1" t="s">
        <v>25</v>
      </c>
      <c r="C81" s="16"/>
      <c r="D81" s="74">
        <f>+'A 10'!C91</f>
        <v>383246.343</v>
      </c>
      <c r="E81" s="74">
        <f>+'A 10'!E91</f>
        <v>151823</v>
      </c>
      <c r="F81" s="113"/>
      <c r="G81" s="117"/>
    </row>
    <row r="82" spans="2:7" ht="15.75" customHeight="1">
      <c r="B82" s="1" t="s">
        <v>26</v>
      </c>
      <c r="C82" s="16"/>
      <c r="D82" s="74"/>
      <c r="E82" s="74"/>
      <c r="F82" s="113"/>
      <c r="G82" s="117"/>
    </row>
    <row r="83" spans="3:7" ht="15.75" customHeight="1">
      <c r="C83" s="16"/>
      <c r="D83" s="16"/>
      <c r="E83" s="16"/>
      <c r="F83" s="113"/>
      <c r="G83" s="117"/>
    </row>
    <row r="84" spans="1:7" ht="15.75" customHeight="1">
      <c r="A84" s="12" t="s">
        <v>42</v>
      </c>
      <c r="B84" s="22"/>
      <c r="C84" s="16"/>
      <c r="D84" s="81">
        <f>+D82+D81</f>
        <v>383246.343</v>
      </c>
      <c r="E84" s="81">
        <f>+E82+E81</f>
        <v>151823</v>
      </c>
      <c r="F84" s="113"/>
      <c r="G84" s="117"/>
    </row>
    <row r="85" spans="3:7" ht="15.75" customHeight="1">
      <c r="C85" s="16"/>
      <c r="D85" s="16"/>
      <c r="E85" s="16"/>
      <c r="F85" s="113"/>
      <c r="G85" s="117"/>
    </row>
    <row r="86" spans="1:7" ht="15.75" customHeight="1">
      <c r="A86" s="5" t="s">
        <v>35</v>
      </c>
      <c r="C86" s="16"/>
      <c r="D86" s="16"/>
      <c r="E86" s="16"/>
      <c r="F86" s="113"/>
      <c r="G86" s="117"/>
    </row>
    <row r="87" spans="1:7" ht="15.75" customHeight="1">
      <c r="A87" s="1" t="s">
        <v>0</v>
      </c>
      <c r="C87" s="19"/>
      <c r="D87" s="19"/>
      <c r="E87" s="19"/>
      <c r="F87" s="113"/>
      <c r="G87" s="117"/>
    </row>
    <row r="88" spans="2:8" ht="15.75" customHeight="1">
      <c r="B88" s="1" t="s">
        <v>9</v>
      </c>
      <c r="C88" s="17"/>
      <c r="D88" s="74">
        <f>+'A 10'!C95</f>
        <v>2007517.7280000004</v>
      </c>
      <c r="E88" s="74">
        <f>+'A 10'!E95</f>
        <v>1677176</v>
      </c>
      <c r="F88" s="113"/>
      <c r="G88" s="117"/>
      <c r="H88" s="76"/>
    </row>
    <row r="89" spans="1:8" ht="15.75" customHeight="1">
      <c r="A89" s="5"/>
      <c r="B89" s="1" t="s">
        <v>10</v>
      </c>
      <c r="C89" s="17"/>
      <c r="D89" s="74">
        <f>+'A 10'!C96</f>
        <v>720169.4770000001</v>
      </c>
      <c r="E89" s="74">
        <f>+'A 10'!E96</f>
        <v>1202420</v>
      </c>
      <c r="F89" s="113"/>
      <c r="G89" s="117"/>
      <c r="H89" s="76"/>
    </row>
    <row r="90" spans="2:7" ht="15.75" customHeight="1">
      <c r="B90" s="1" t="s">
        <v>27</v>
      </c>
      <c r="C90" s="17"/>
      <c r="D90" s="74">
        <f>+'A 10'!C97</f>
        <v>519142.628</v>
      </c>
      <c r="E90" s="74">
        <f>+'A 10'!E97</f>
        <v>112483</v>
      </c>
      <c r="F90" s="113"/>
      <c r="G90" s="117"/>
    </row>
    <row r="91" spans="3:7" ht="15.75" customHeight="1">
      <c r="C91" s="17"/>
      <c r="D91" s="17"/>
      <c r="E91" s="17"/>
      <c r="F91" s="113"/>
      <c r="G91" s="117"/>
    </row>
    <row r="92" spans="1:7" ht="15.75" customHeight="1">
      <c r="A92" s="12" t="s">
        <v>43</v>
      </c>
      <c r="C92" s="16"/>
      <c r="D92" s="81">
        <f>SUM(D88:D90)</f>
        <v>3246829.8330000006</v>
      </c>
      <c r="E92" s="81">
        <f>SUM(E88:E90)</f>
        <v>2992079</v>
      </c>
      <c r="F92" s="113"/>
      <c r="G92" s="117"/>
    </row>
    <row r="93" spans="1:7" ht="15.75" customHeight="1">
      <c r="A93" s="5"/>
      <c r="B93" s="5"/>
      <c r="C93" s="17"/>
      <c r="D93" s="17"/>
      <c r="E93" s="17"/>
      <c r="F93" s="113"/>
      <c r="G93" s="117"/>
    </row>
    <row r="94" spans="1:7" ht="15.75" customHeight="1">
      <c r="A94" s="5" t="s">
        <v>0</v>
      </c>
      <c r="C94" s="16"/>
      <c r="D94" s="16"/>
      <c r="E94" s="16"/>
      <c r="F94" s="113"/>
      <c r="G94" s="117"/>
    </row>
    <row r="95" spans="1:7" s="8" customFormat="1" ht="15.75" customHeight="1">
      <c r="A95" s="25" t="s">
        <v>44</v>
      </c>
      <c r="B95" s="23"/>
      <c r="C95" s="24"/>
      <c r="D95" s="81">
        <f>+D92+D84+D75</f>
        <v>10483244.181</v>
      </c>
      <c r="E95" s="81">
        <f>+E92+E84+E75</f>
        <v>8914411</v>
      </c>
      <c r="F95" s="113"/>
      <c r="G95" s="117"/>
    </row>
    <row r="96" spans="3:7" ht="15.75" customHeight="1">
      <c r="C96" s="16"/>
      <c r="D96" s="16"/>
      <c r="E96" s="15"/>
      <c r="F96" s="113"/>
      <c r="G96" s="119"/>
    </row>
    <row r="97" spans="3:6" ht="15.75" customHeight="1">
      <c r="C97" s="16"/>
      <c r="D97" s="16">
        <f>+D95-D48</f>
        <v>-0.24200000055134296</v>
      </c>
      <c r="E97" s="16">
        <f>+E95-E48</f>
        <v>0</v>
      </c>
      <c r="F97" s="113"/>
    </row>
    <row r="98" spans="3:6" ht="15.75" customHeight="1">
      <c r="C98" s="16"/>
      <c r="D98" s="16"/>
      <c r="E98" s="15"/>
      <c r="F98" s="113"/>
    </row>
    <row r="99" spans="3:6" ht="15.75" customHeight="1">
      <c r="C99" s="16"/>
      <c r="D99" s="16"/>
      <c r="E99" s="15"/>
      <c r="F99" s="113"/>
    </row>
    <row r="100" spans="3:6" ht="15.75" customHeight="1">
      <c r="C100" s="16"/>
      <c r="D100" s="16"/>
      <c r="E100" s="15"/>
      <c r="F100" s="113"/>
    </row>
    <row r="101" spans="3:6" ht="15.75" customHeight="1">
      <c r="C101" s="16"/>
      <c r="D101" s="16"/>
      <c r="E101" s="15"/>
      <c r="F101" s="113"/>
    </row>
    <row r="102" spans="3:6" ht="15.75" customHeight="1">
      <c r="C102" s="16"/>
      <c r="D102" s="16"/>
      <c r="E102" s="15"/>
      <c r="F102" s="113"/>
    </row>
    <row r="103" spans="3:6" ht="15.75" customHeight="1">
      <c r="C103" s="17"/>
      <c r="D103" s="17"/>
      <c r="E103" s="15"/>
      <c r="F103" s="113"/>
    </row>
    <row r="104" spans="3:6" ht="15.75" customHeight="1">
      <c r="C104" s="16"/>
      <c r="D104" s="16"/>
      <c r="E104" s="15"/>
      <c r="F104" s="113"/>
    </row>
    <row r="105" spans="1:6" ht="15" customHeight="1">
      <c r="A105" s="2"/>
      <c r="C105" s="17"/>
      <c r="D105" s="17"/>
      <c r="E105" s="15"/>
      <c r="F105" s="113"/>
    </row>
    <row r="106" spans="3:6" ht="15.75" customHeight="1">
      <c r="C106" s="17"/>
      <c r="D106" s="17"/>
      <c r="E106" s="15"/>
      <c r="F106" s="113"/>
    </row>
    <row r="107" spans="1:6" ht="21" customHeight="1">
      <c r="A107" s="166" t="s">
        <v>11</v>
      </c>
      <c r="B107" s="166"/>
      <c r="C107" s="166"/>
      <c r="D107" s="166"/>
      <c r="E107" s="166"/>
      <c r="F107" s="113"/>
    </row>
    <row r="108" spans="1:6" ht="15.75" customHeight="1">
      <c r="A108" s="165" t="s">
        <v>2</v>
      </c>
      <c r="B108" s="165"/>
      <c r="C108" s="165"/>
      <c r="D108" s="165"/>
      <c r="E108" s="165"/>
      <c r="F108" s="113"/>
    </row>
    <row r="109" spans="2:6" ht="15.75" customHeight="1">
      <c r="B109" s="2"/>
      <c r="C109" s="17"/>
      <c r="D109" s="17"/>
      <c r="E109" s="15"/>
      <c r="F109" s="113"/>
    </row>
    <row r="110" spans="3:6" ht="15.75" customHeight="1">
      <c r="C110" s="17"/>
      <c r="D110" s="17"/>
      <c r="E110" s="15"/>
      <c r="F110" s="113"/>
    </row>
    <row r="111" spans="2:7" s="8" customFormat="1" ht="15.75" customHeight="1">
      <c r="B111" s="9" t="s">
        <v>0</v>
      </c>
      <c r="C111" s="10" t="s">
        <v>23</v>
      </c>
      <c r="D111" s="105">
        <v>40178</v>
      </c>
      <c r="E111" s="105">
        <v>39813</v>
      </c>
      <c r="F111" s="113"/>
      <c r="G111" s="115"/>
    </row>
    <row r="112" spans="3:6" ht="15.75" customHeight="1">
      <c r="C112" s="17"/>
      <c r="D112" s="17"/>
      <c r="E112" s="15"/>
      <c r="F112" s="113"/>
    </row>
    <row r="113" spans="1:6" ht="15.75" customHeight="1">
      <c r="A113" s="5" t="s">
        <v>12</v>
      </c>
      <c r="B113" s="5"/>
      <c r="C113" s="16"/>
      <c r="D113" s="16"/>
      <c r="E113" s="15"/>
      <c r="F113" s="113"/>
    </row>
    <row r="114" spans="1:6" ht="15.75" customHeight="1">
      <c r="A114" s="5"/>
      <c r="C114" s="16"/>
      <c r="D114" s="16"/>
      <c r="E114" s="15"/>
      <c r="F114" s="113"/>
    </row>
    <row r="115" spans="1:7" ht="15.75" customHeight="1">
      <c r="A115" s="1" t="s">
        <v>13</v>
      </c>
      <c r="C115" s="17"/>
      <c r="D115" s="74">
        <f>+'A20'!C19</f>
        <v>7392943.574</v>
      </c>
      <c r="E115" s="74">
        <f>+'A20'!E19</f>
        <v>6848894</v>
      </c>
      <c r="F115" s="113"/>
      <c r="G115" s="120"/>
    </row>
    <row r="116" spans="1:7" ht="15.75" customHeight="1">
      <c r="A116" s="103" t="s">
        <v>183</v>
      </c>
      <c r="C116" s="17"/>
      <c r="D116" s="74">
        <v>0</v>
      </c>
      <c r="E116" s="74">
        <v>0</v>
      </c>
      <c r="F116" s="113"/>
      <c r="G116" s="120"/>
    </row>
    <row r="117" spans="1:7" ht="15.75" customHeight="1">
      <c r="A117" s="1" t="s">
        <v>154</v>
      </c>
      <c r="C117" s="17"/>
      <c r="D117" s="74">
        <v>0</v>
      </c>
      <c r="E117" s="74"/>
      <c r="F117" s="113"/>
      <c r="G117" s="120"/>
    </row>
    <row r="118" spans="3:7" ht="15.75" customHeight="1">
      <c r="C118" s="20"/>
      <c r="D118" s="20"/>
      <c r="E118" s="20"/>
      <c r="F118" s="113"/>
      <c r="G118" s="121"/>
    </row>
    <row r="119" spans="1:7" ht="15.75" customHeight="1">
      <c r="A119" s="12" t="s">
        <v>53</v>
      </c>
      <c r="B119" s="22"/>
      <c r="C119" s="17"/>
      <c r="D119" s="81">
        <f>+SUM(D115:D117)</f>
        <v>7392943.574</v>
      </c>
      <c r="E119" s="81">
        <f>+SUM(E115:E117)</f>
        <v>6848894</v>
      </c>
      <c r="F119" s="113"/>
      <c r="G119" s="121"/>
    </row>
    <row r="120" spans="3:7" ht="15.75" customHeight="1">
      <c r="C120" s="17"/>
      <c r="D120" s="17"/>
      <c r="E120" s="17"/>
      <c r="F120" s="113"/>
      <c r="G120" s="121"/>
    </row>
    <row r="121" spans="3:7" ht="15.75" customHeight="1">
      <c r="C121" s="20"/>
      <c r="D121" s="20"/>
      <c r="E121" s="20"/>
      <c r="F121" s="113"/>
      <c r="G121" s="122"/>
    </row>
    <row r="122" spans="1:7" ht="15.75" customHeight="1">
      <c r="A122" s="5" t="s">
        <v>14</v>
      </c>
      <c r="C122" s="17"/>
      <c r="D122" s="17"/>
      <c r="E122" s="17"/>
      <c r="F122" s="113"/>
      <c r="G122" s="121"/>
    </row>
    <row r="123" spans="3:7" ht="15.75" customHeight="1">
      <c r="C123" s="17"/>
      <c r="D123" s="17"/>
      <c r="E123" s="17"/>
      <c r="F123" s="113"/>
      <c r="G123" s="121"/>
    </row>
    <row r="124" spans="3:7" ht="15.75" customHeight="1">
      <c r="C124" s="17"/>
      <c r="D124" s="17"/>
      <c r="E124" s="17"/>
      <c r="F124" s="113"/>
      <c r="G124" s="121"/>
    </row>
    <row r="125" spans="1:7" ht="15.75" customHeight="1">
      <c r="A125" s="1" t="s">
        <v>32</v>
      </c>
      <c r="C125" s="17"/>
      <c r="D125" s="74">
        <f>+'A20'!C27</f>
        <v>3585068.3249999997</v>
      </c>
      <c r="E125" s="74">
        <f>+'A20'!E27</f>
        <v>2766029.8540000003</v>
      </c>
      <c r="F125" s="113"/>
      <c r="G125" s="121"/>
    </row>
    <row r="126" spans="1:7" ht="15.75" customHeight="1">
      <c r="A126" s="1" t="s">
        <v>16</v>
      </c>
      <c r="C126" s="17"/>
      <c r="D126" s="74">
        <f>+'A20'!C28</f>
        <v>577659.552</v>
      </c>
      <c r="E126" s="74">
        <f>+'A20'!E28</f>
        <v>548069</v>
      </c>
      <c r="F126" s="113"/>
      <c r="G126" s="121"/>
    </row>
    <row r="127" spans="1:7" ht="15.75" customHeight="1">
      <c r="A127" s="1" t="s">
        <v>33</v>
      </c>
      <c r="C127" s="17"/>
      <c r="D127" s="74">
        <f>+'A20'!C29</f>
        <v>129646.636</v>
      </c>
      <c r="E127" s="74">
        <f>+'A20'!E29</f>
        <v>103452</v>
      </c>
      <c r="F127" s="113"/>
      <c r="G127" s="121"/>
    </row>
    <row r="128" spans="1:7" ht="15.75" customHeight="1">
      <c r="A128" s="1" t="s">
        <v>15</v>
      </c>
      <c r="C128" s="17"/>
      <c r="D128" s="74">
        <f>+'A20'!C30</f>
        <v>2279196.89</v>
      </c>
      <c r="E128" s="74">
        <f>+'A20'!E30</f>
        <v>2072931</v>
      </c>
      <c r="F128" s="113"/>
      <c r="G128" s="121"/>
    </row>
    <row r="129" spans="1:7" ht="15.75" customHeight="1">
      <c r="A129" s="1" t="s">
        <v>169</v>
      </c>
      <c r="C129" s="17"/>
      <c r="D129" s="74">
        <f>+'A20'!C26</f>
        <v>-554517.251</v>
      </c>
      <c r="E129" s="74">
        <f>+'A20'!E26</f>
        <v>152110.94500000007</v>
      </c>
      <c r="F129" s="113"/>
      <c r="G129" s="121"/>
    </row>
    <row r="130" spans="3:7" ht="15.75" customHeight="1">
      <c r="C130" s="17"/>
      <c r="D130" s="17"/>
      <c r="E130" s="17"/>
      <c r="F130" s="113"/>
      <c r="G130" s="122"/>
    </row>
    <row r="131" spans="1:7" ht="15.75" customHeight="1">
      <c r="A131" s="12" t="s">
        <v>54</v>
      </c>
      <c r="B131" s="12"/>
      <c r="C131" s="26"/>
      <c r="D131" s="81">
        <f>-SUM(D125:D129)</f>
        <v>-6017054.152000001</v>
      </c>
      <c r="E131" s="81">
        <f>-SUM(E125:E129)</f>
        <v>-5642592.799000001</v>
      </c>
      <c r="F131" s="113"/>
      <c r="G131" s="121"/>
    </row>
    <row r="132" spans="3:7" ht="15.75" customHeight="1">
      <c r="C132" s="17"/>
      <c r="D132" s="17"/>
      <c r="E132" s="17"/>
      <c r="F132" s="113"/>
      <c r="G132" s="122"/>
    </row>
    <row r="133" spans="1:7" ht="15.75" customHeight="1">
      <c r="A133" s="5"/>
      <c r="C133" s="17"/>
      <c r="D133" s="17"/>
      <c r="E133" s="17"/>
      <c r="F133" s="113"/>
      <c r="G133" s="121"/>
    </row>
    <row r="134" spans="1:7" ht="15.75" customHeight="1">
      <c r="A134" s="12" t="s">
        <v>17</v>
      </c>
      <c r="B134" s="12"/>
      <c r="C134" s="26"/>
      <c r="D134" s="81">
        <f>D131+D119</f>
        <v>1375889.4219999993</v>
      </c>
      <c r="E134" s="81">
        <f>E131+E119</f>
        <v>1206301.2009999994</v>
      </c>
      <c r="F134" s="113"/>
      <c r="G134" s="121"/>
    </row>
    <row r="135" spans="3:7" ht="15.75" customHeight="1">
      <c r="C135" s="17"/>
      <c r="D135" s="17"/>
      <c r="E135" s="17"/>
      <c r="F135" s="113"/>
      <c r="G135" s="121"/>
    </row>
    <row r="136" spans="1:7" ht="15.75" customHeight="1">
      <c r="A136" s="1" t="s">
        <v>19</v>
      </c>
      <c r="C136" s="17"/>
      <c r="D136" s="74">
        <f>+'A20'!C36</f>
        <v>-66870.909</v>
      </c>
      <c r="E136" s="74">
        <f>+'A20'!E36</f>
        <v>-26524</v>
      </c>
      <c r="F136" s="113"/>
      <c r="G136" s="121"/>
    </row>
    <row r="137" spans="1:7" ht="15.75" customHeight="1">
      <c r="A137" s="1" t="s">
        <v>152</v>
      </c>
      <c r="C137" s="17"/>
      <c r="D137" s="74">
        <f>+'A20'!C37</f>
        <v>4463.268</v>
      </c>
      <c r="E137" s="74">
        <f>+'A20'!E37</f>
        <v>32391</v>
      </c>
      <c r="F137" s="113"/>
      <c r="G137" s="121"/>
    </row>
    <row r="138" spans="1:7" ht="15.75" customHeight="1">
      <c r="A138" s="1" t="s">
        <v>20</v>
      </c>
      <c r="C138" s="16"/>
      <c r="D138" s="74">
        <f>+'A20'!C38</f>
        <v>75231.706</v>
      </c>
      <c r="E138" s="74">
        <f>+'A20'!E38</f>
        <v>60954</v>
      </c>
      <c r="F138" s="113"/>
      <c r="G138" s="121"/>
    </row>
    <row r="139" spans="1:7" ht="15.75" customHeight="1">
      <c r="A139" s="1" t="s">
        <v>168</v>
      </c>
      <c r="C139" s="16"/>
      <c r="D139" s="74">
        <f>+'A20'!C39</f>
        <v>-66054.167</v>
      </c>
      <c r="E139" s="74">
        <f>+'A20'!E39</f>
        <v>-18504</v>
      </c>
      <c r="F139" s="113"/>
      <c r="G139" s="122"/>
    </row>
    <row r="140" spans="1:7" ht="15.75" customHeight="1">
      <c r="A140" s="1" t="s">
        <v>154</v>
      </c>
      <c r="C140" s="16"/>
      <c r="D140" s="74"/>
      <c r="E140" s="74"/>
      <c r="F140" s="113"/>
      <c r="G140" s="122"/>
    </row>
    <row r="141" spans="3:7" ht="15.75" customHeight="1">
      <c r="C141" s="16"/>
      <c r="D141" s="16"/>
      <c r="E141" s="16"/>
      <c r="F141" s="113"/>
      <c r="G141" s="121"/>
    </row>
    <row r="142" spans="1:7" ht="15.75" customHeight="1">
      <c r="A142" s="12" t="s">
        <v>55</v>
      </c>
      <c r="B142" s="22"/>
      <c r="C142" s="27"/>
      <c r="D142" s="81">
        <f>SUM(D134:D140)</f>
        <v>1322659.3199999994</v>
      </c>
      <c r="E142" s="81">
        <f>SUM(E134:E140)</f>
        <v>1254618.2009999994</v>
      </c>
      <c r="F142" s="113"/>
      <c r="G142" s="121"/>
    </row>
    <row r="143" spans="1:7" ht="15.75" customHeight="1">
      <c r="A143" s="5"/>
      <c r="C143" s="16"/>
      <c r="D143" s="16"/>
      <c r="E143" s="16"/>
      <c r="F143" s="113"/>
      <c r="G143" s="121"/>
    </row>
    <row r="144" spans="1:7" ht="15.75" customHeight="1">
      <c r="A144" s="1" t="s">
        <v>21</v>
      </c>
      <c r="C144" s="16"/>
      <c r="D144" s="74"/>
      <c r="E144" s="74">
        <f>+'A20'!E44</f>
        <v>-218829</v>
      </c>
      <c r="F144" s="113"/>
      <c r="G144" s="122"/>
    </row>
    <row r="145" spans="3:7" ht="15.75" customHeight="1">
      <c r="C145" s="16"/>
      <c r="D145" s="16"/>
      <c r="E145" s="16"/>
      <c r="F145" s="113"/>
      <c r="G145" s="121"/>
    </row>
    <row r="146" spans="1:7" ht="15.75" customHeight="1">
      <c r="A146" s="12" t="s">
        <v>56</v>
      </c>
      <c r="C146" s="16"/>
      <c r="D146" s="81">
        <f>D144+D142</f>
        <v>1322659.3199999994</v>
      </c>
      <c r="E146" s="81">
        <f>E144+E142</f>
        <v>1035789.2009999994</v>
      </c>
      <c r="F146" s="113"/>
      <c r="G146" s="121"/>
    </row>
    <row r="147" spans="1:7" ht="15.75" customHeight="1">
      <c r="A147" s="12"/>
      <c r="C147" s="16"/>
      <c r="D147" s="16"/>
      <c r="E147" s="16"/>
      <c r="F147" s="113"/>
      <c r="G147" s="121"/>
    </row>
    <row r="148" spans="1:7" ht="15.75" customHeight="1">
      <c r="A148" s="1" t="s">
        <v>155</v>
      </c>
      <c r="C148" s="16"/>
      <c r="D148" s="74"/>
      <c r="E148" s="74"/>
      <c r="F148" s="113"/>
      <c r="G148" s="121"/>
    </row>
    <row r="149" spans="2:7" ht="15.75" customHeight="1">
      <c r="B149" s="5"/>
      <c r="C149" s="16"/>
      <c r="D149" s="16"/>
      <c r="E149" s="16"/>
      <c r="F149" s="113"/>
      <c r="G149" s="121"/>
    </row>
    <row r="150" spans="1:7" ht="15.75" customHeight="1">
      <c r="A150" s="12" t="s">
        <v>22</v>
      </c>
      <c r="B150" s="22"/>
      <c r="C150" s="27"/>
      <c r="D150" s="81">
        <f>+D146</f>
        <v>1322659.3199999994</v>
      </c>
      <c r="E150" s="81">
        <f>+E146</f>
        <v>1035789.2009999994</v>
      </c>
      <c r="F150" s="113"/>
      <c r="G150" s="122"/>
    </row>
    <row r="151" spans="1:7" s="8" customFormat="1" ht="15.75" customHeight="1">
      <c r="A151" s="18"/>
      <c r="C151" s="21"/>
      <c r="D151" s="21"/>
      <c r="E151" s="21"/>
      <c r="F151" s="113"/>
      <c r="G151" s="121"/>
    </row>
    <row r="152" spans="1:7" ht="15.75" customHeight="1">
      <c r="A152" s="1" t="s">
        <v>156</v>
      </c>
      <c r="C152" s="11"/>
      <c r="D152" s="74"/>
      <c r="E152" s="74"/>
      <c r="F152" s="113"/>
      <c r="G152" s="121"/>
    </row>
    <row r="153" spans="3:7" ht="15.75" customHeight="1">
      <c r="C153" s="11"/>
      <c r="D153" s="11"/>
      <c r="E153" s="11"/>
      <c r="F153" s="113"/>
      <c r="G153" s="121"/>
    </row>
    <row r="154" spans="1:7" ht="15.75" customHeight="1">
      <c r="A154" s="12" t="s">
        <v>157</v>
      </c>
      <c r="C154" s="11"/>
      <c r="D154" s="81">
        <f>SUM(D150:D152)</f>
        <v>1322659.3199999994</v>
      </c>
      <c r="E154" s="81">
        <f>SUM(E150:E152)</f>
        <v>1035789.2009999994</v>
      </c>
      <c r="F154" s="113"/>
      <c r="G154" s="121"/>
    </row>
    <row r="155" spans="6:7" ht="15.75" customHeight="1">
      <c r="F155" s="82"/>
      <c r="G155" s="121"/>
    </row>
    <row r="156" spans="1:7" ht="15.75" customHeight="1">
      <c r="A156" s="5" t="s">
        <v>0</v>
      </c>
      <c r="B156" s="38" t="str">
        <f>IF(E75&lt;0.5*E65,"les fonds propres sont inférieures à la moitié du capital social,Il y a lieu d'appliquer l'aricle 27 du code des sociétés commerciales","*")</f>
        <v>*</v>
      </c>
      <c r="F156" s="82"/>
      <c r="G156" s="122"/>
    </row>
    <row r="157" spans="6:7" ht="15.75" customHeight="1">
      <c r="F157" s="8"/>
      <c r="G157" s="115"/>
    </row>
    <row r="158" spans="6:7" ht="15.75" customHeight="1">
      <c r="F158" s="8"/>
      <c r="G158" s="115"/>
    </row>
    <row r="159" spans="6:7" ht="15.75" customHeight="1">
      <c r="F159" s="8"/>
      <c r="G159" s="115"/>
    </row>
    <row r="160" spans="6:7" ht="15.75" customHeight="1">
      <c r="F160" s="8"/>
      <c r="G160" s="115"/>
    </row>
    <row r="161" spans="6:7" ht="15.75" customHeight="1">
      <c r="F161" s="8"/>
      <c r="G161" s="115"/>
    </row>
    <row r="162" spans="6:7" ht="15.75" customHeight="1">
      <c r="F162" s="8"/>
      <c r="G162" s="115"/>
    </row>
    <row r="163" spans="6:7" ht="15.75" customHeight="1">
      <c r="F163" s="8"/>
      <c r="G163" s="115"/>
    </row>
    <row r="164" spans="6:7" ht="15.75" customHeight="1">
      <c r="F164" s="8"/>
      <c r="G164" s="115"/>
    </row>
    <row r="165" spans="6:7" ht="15.75" customHeight="1">
      <c r="F165" s="8"/>
      <c r="G165" s="115"/>
    </row>
    <row r="166" spans="6:7" ht="15.75" customHeight="1">
      <c r="F166" s="8"/>
      <c r="G166" s="115"/>
    </row>
    <row r="167" spans="6:7" ht="15.75" customHeight="1">
      <c r="F167" s="8"/>
      <c r="G167" s="115"/>
    </row>
    <row r="168" spans="6:7" ht="15.75" customHeight="1">
      <c r="F168" s="8"/>
      <c r="G168" s="115"/>
    </row>
  </sheetData>
  <sheetProtection/>
  <mergeCells count="6">
    <mergeCell ref="A54:E54"/>
    <mergeCell ref="A107:E107"/>
    <mergeCell ref="A108:E108"/>
    <mergeCell ref="A2:E2"/>
    <mergeCell ref="A3:E3"/>
    <mergeCell ref="A53:E53"/>
  </mergeCells>
  <printOptions/>
  <pageMargins left="0.7874015748031497" right="0.28" top="1.11" bottom="0.5905511811023623" header="0.38" footer="0.29"/>
  <pageSetup horizontalDpi="180" verticalDpi="180" orientation="portrait" paperSize="9" scale="86" r:id="rId1"/>
  <headerFooter alignWithMargins="0">
    <oddHeader>&amp;L&amp;"Arial Narrow,Gras"&amp;11 &amp;R&amp;"Braggadocio,Normal"
</oddHeader>
    <oddFooter xml:space="preserve">&amp;R&amp;"Arial Narrow,Normal"&amp;11 </oddFooter>
  </headerFooter>
  <rowBreaks count="3" manualBreakCount="3">
    <brk id="52" max="5" man="1"/>
    <brk id="100" max="5" man="1"/>
    <brk id="154" max="5" man="1"/>
  </rowBreaks>
</worksheet>
</file>

<file path=xl/worksheets/sheet4.xml><?xml version="1.0" encoding="utf-8"?>
<worksheet xmlns="http://schemas.openxmlformats.org/spreadsheetml/2006/main" xmlns:r="http://schemas.openxmlformats.org/officeDocument/2006/relationships">
  <dimension ref="A2:H25"/>
  <sheetViews>
    <sheetView zoomScalePageLayoutView="0" workbookViewId="0" topLeftCell="A1">
      <selection activeCell="J21" sqref="J21"/>
    </sheetView>
  </sheetViews>
  <sheetFormatPr defaultColWidth="11.421875" defaultRowHeight="12.75"/>
  <cols>
    <col min="1" max="1" width="41.140625" style="42" bestFit="1" customWidth="1"/>
    <col min="2" max="2" width="13.8515625" style="42" hidden="1" customWidth="1"/>
    <col min="3" max="3" width="12.7109375" style="107" customWidth="1"/>
    <col min="4" max="4" width="14.421875" style="42" hidden="1" customWidth="1"/>
    <col min="5" max="5" width="13.421875" style="42" hidden="1" customWidth="1"/>
    <col min="6" max="6" width="11.421875" style="88" hidden="1" customWidth="1"/>
    <col min="7" max="16384" width="11.421875" style="42" customWidth="1"/>
  </cols>
  <sheetData>
    <row r="1" ht="3" customHeight="1"/>
    <row r="2" spans="1:2" ht="15.75" customHeight="1">
      <c r="A2" s="168"/>
      <c r="B2" s="169"/>
    </row>
    <row r="3" spans="2:8" ht="20.25">
      <c r="B3" s="167" t="s">
        <v>166</v>
      </c>
      <c r="C3" s="167"/>
      <c r="D3" s="167"/>
      <c r="E3" s="167"/>
      <c r="F3" s="167"/>
      <c r="G3" s="167"/>
      <c r="H3" s="167"/>
    </row>
    <row r="4" ht="9" customHeight="1"/>
    <row r="5" ht="9" customHeight="1"/>
    <row r="6" ht="8.25" customHeight="1"/>
    <row r="7" ht="6.75" customHeight="1"/>
    <row r="8" spans="2:6" s="43" customFormat="1" ht="15.75">
      <c r="B8" s="55">
        <f>+'1-Bilan et état de  résultat'!D111</f>
        <v>40178</v>
      </c>
      <c r="C8" s="104" t="s">
        <v>199</v>
      </c>
      <c r="D8" s="55">
        <f>+'1-Bilan et état de  résultat'!E111</f>
        <v>39813</v>
      </c>
      <c r="E8" s="55" t="e">
        <f>+'1-Bilan et état de  résultat'!#REF!</f>
        <v>#REF!</v>
      </c>
      <c r="F8" s="90" t="s">
        <v>165</v>
      </c>
    </row>
    <row r="9" spans="1:6" ht="15.75">
      <c r="A9" s="42" t="str">
        <f>+'1-Bilan et état de  résultat'!A115</f>
        <v>Revenus </v>
      </c>
      <c r="B9" s="62">
        <f>+'1-Bilan et état de  résultat'!D115</f>
        <v>7392943.574</v>
      </c>
      <c r="C9" s="106">
        <f>+(B9-D9)/D9</f>
        <v>0.07943612121898806</v>
      </c>
      <c r="D9" s="100">
        <f>+'1-Bilan et état de  résultat'!E115</f>
        <v>6848894</v>
      </c>
      <c r="E9" s="62" t="e">
        <f>+'1-Bilan et état de  résultat'!#REF!</f>
        <v>#REF!</v>
      </c>
      <c r="F9" s="68" t="e">
        <f>+E9/E$9</f>
        <v>#REF!</v>
      </c>
    </row>
    <row r="10" spans="1:6" ht="15.75" customHeight="1" hidden="1">
      <c r="A10" s="42" t="str">
        <f>+'1-Bilan et état de  résultat'!A116</f>
        <v>Autres produits d'exploitation</v>
      </c>
      <c r="B10" s="62">
        <f>+'1-Bilan et état de  résultat'!D116</f>
        <v>0</v>
      </c>
      <c r="C10" s="106" t="e">
        <f aca="true" t="shared" si="0" ref="C10:C23">+(B10-D10)/D10</f>
        <v>#DIV/0!</v>
      </c>
      <c r="D10" s="62">
        <f>+'1-Bilan et état de  résultat'!E116</f>
        <v>0</v>
      </c>
      <c r="E10" s="62" t="e">
        <f>+'1-Bilan et état de  résultat'!#REF!</f>
        <v>#REF!</v>
      </c>
      <c r="F10" s="68" t="e">
        <f aca="true" t="shared" si="1" ref="F10:F23">+E10/E$9</f>
        <v>#REF!</v>
      </c>
    </row>
    <row r="11" spans="1:6" ht="15.75">
      <c r="A11" s="42" t="str">
        <f>+'1-Bilan et état de  résultat'!A125</f>
        <v>*   Achats d'approvis consommés</v>
      </c>
      <c r="B11" s="62">
        <f>+'1-Bilan et état de  résultat'!D125</f>
        <v>3585068.3249999997</v>
      </c>
      <c r="C11" s="106">
        <f>+(B11-D11)/D11</f>
        <v>0.2961061572837237</v>
      </c>
      <c r="D11" s="100">
        <f>+'1-Bilan et état de  résultat'!E125</f>
        <v>2766029.8540000003</v>
      </c>
      <c r="E11" s="62" t="e">
        <f>+'1-Bilan et état de  résultat'!#REF!</f>
        <v>#REF!</v>
      </c>
      <c r="F11" s="68" t="e">
        <f t="shared" si="1"/>
        <v>#REF!</v>
      </c>
    </row>
    <row r="12" spans="1:6" ht="15.75">
      <c r="A12" s="42" t="str">
        <f>+'1-Bilan et état de  résultat'!A126</f>
        <v>*   Charges de personnels</v>
      </c>
      <c r="B12" s="62">
        <f>+'1-Bilan et état de  résultat'!D126</f>
        <v>577659.552</v>
      </c>
      <c r="C12" s="106">
        <f>+(B12-D12)/D12</f>
        <v>0.053990559582826295</v>
      </c>
      <c r="D12" s="62">
        <f>+'1-Bilan et état de  résultat'!E126</f>
        <v>548069</v>
      </c>
      <c r="E12" s="62" t="e">
        <f>+'1-Bilan et état de  résultat'!#REF!</f>
        <v>#REF!</v>
      </c>
      <c r="F12" s="68" t="e">
        <f t="shared" si="1"/>
        <v>#REF!</v>
      </c>
    </row>
    <row r="13" spans="1:6" ht="15.75">
      <c r="A13" s="42" t="str">
        <f>+'1-Bilan et état de  résultat'!A127</f>
        <v>*   Dotation aux amortissements et prov</v>
      </c>
      <c r="B13" s="62">
        <f>+'1-Bilan et état de  résultat'!D127</f>
        <v>129646.636</v>
      </c>
      <c r="C13" s="106">
        <f t="shared" si="0"/>
        <v>0.2532056992614932</v>
      </c>
      <c r="D13" s="100">
        <f>+'1-Bilan et état de  résultat'!E127</f>
        <v>103452</v>
      </c>
      <c r="E13" s="62" t="e">
        <f>+'1-Bilan et état de  résultat'!#REF!</f>
        <v>#REF!</v>
      </c>
      <c r="F13" s="68" t="e">
        <f t="shared" si="1"/>
        <v>#REF!</v>
      </c>
    </row>
    <row r="14" spans="1:6" ht="15.75">
      <c r="A14" s="42" t="str">
        <f>+'1-Bilan et état de  résultat'!A128</f>
        <v>*   Autres charges d'exploitations</v>
      </c>
      <c r="B14" s="62">
        <f>+'1-Bilan et état de  résultat'!D128</f>
        <v>2279196.89</v>
      </c>
      <c r="C14" s="106">
        <f t="shared" si="0"/>
        <v>0.09950446493395107</v>
      </c>
      <c r="D14" s="62">
        <f>+'1-Bilan et état de  résultat'!E128</f>
        <v>2072931</v>
      </c>
      <c r="E14" s="62" t="e">
        <f>+'1-Bilan et état de  résultat'!#REF!</f>
        <v>#REF!</v>
      </c>
      <c r="F14" s="68" t="e">
        <f t="shared" si="1"/>
        <v>#REF!</v>
      </c>
    </row>
    <row r="15" spans="1:6" ht="15.75">
      <c r="A15" s="42" t="str">
        <f>+'1-Bilan et état de  résultat'!A129</f>
        <v>*   Variation des stocks de produits finis</v>
      </c>
      <c r="B15" s="62">
        <f>+'1-Bilan et état de  résultat'!D129</f>
        <v>-554517.251</v>
      </c>
      <c r="C15" s="106">
        <f>+(B15-D15)/D15</f>
        <v>-4.64547896931414</v>
      </c>
      <c r="D15" s="62">
        <f>+'1-Bilan et état de  résultat'!E129</f>
        <v>152110.94500000007</v>
      </c>
      <c r="E15" s="62" t="e">
        <f>+'1-Bilan et état de  résultat'!#REF!</f>
        <v>#REF!</v>
      </c>
      <c r="F15" s="68" t="e">
        <f t="shared" si="1"/>
        <v>#REF!</v>
      </c>
    </row>
    <row r="16" spans="1:6" s="86" customFormat="1" ht="20.25">
      <c r="A16" s="98" t="str">
        <f>+'1-Bilan et état de  résultat'!A134</f>
        <v>RESULTAT D'EXPLOITATION</v>
      </c>
      <c r="B16" s="86">
        <f>+'1-Bilan et état de  résultat'!D134</f>
        <v>1375889.4219999993</v>
      </c>
      <c r="C16" s="106">
        <f t="shared" si="0"/>
        <v>0.1405853039517947</v>
      </c>
      <c r="D16" s="86">
        <f>+'1-Bilan et état de  résultat'!E134</f>
        <v>1206301.2009999994</v>
      </c>
      <c r="E16" s="86" t="e">
        <f>+'1-Bilan et état de  résultat'!#REF!</f>
        <v>#REF!</v>
      </c>
      <c r="F16" s="89" t="e">
        <f t="shared" si="1"/>
        <v>#REF!</v>
      </c>
    </row>
    <row r="17" spans="1:6" ht="15.75">
      <c r="A17" s="42" t="str">
        <f>+'1-Bilan et état de  résultat'!A136</f>
        <v>Charges financieres nettes</v>
      </c>
      <c r="B17" s="62">
        <f>+'1-Bilan et état de  résultat'!D136</f>
        <v>-66870.909</v>
      </c>
      <c r="C17" s="106">
        <f t="shared" si="0"/>
        <v>1.521147225154577</v>
      </c>
      <c r="D17" s="100">
        <f>+'1-Bilan et état de  résultat'!E136</f>
        <v>-26524</v>
      </c>
      <c r="E17" s="62" t="e">
        <f>+'1-Bilan et état de  résultat'!#REF!</f>
        <v>#REF!</v>
      </c>
      <c r="F17" s="88" t="e">
        <f t="shared" si="1"/>
        <v>#REF!</v>
      </c>
    </row>
    <row r="18" spans="1:6" ht="15.75">
      <c r="A18" s="42" t="str">
        <f>+'1-Bilan et état de  résultat'!A137</f>
        <v>Produits des placements</v>
      </c>
      <c r="B18" s="62">
        <f>+'1-Bilan et état de  résultat'!D137</f>
        <v>4463.268</v>
      </c>
      <c r="C18" s="106"/>
      <c r="D18" s="62">
        <f>+'1-Bilan et état de  résultat'!E137</f>
        <v>32391</v>
      </c>
      <c r="E18" s="62" t="e">
        <f>+'1-Bilan et état de  résultat'!#REF!</f>
        <v>#REF!</v>
      </c>
      <c r="F18" s="88" t="e">
        <f t="shared" si="1"/>
        <v>#REF!</v>
      </c>
    </row>
    <row r="19" spans="1:6" ht="15.75">
      <c r="A19" s="42" t="str">
        <f>+'1-Bilan et état de  résultat'!A138</f>
        <v>Autres Gains ordinaires</v>
      </c>
      <c r="B19" s="62">
        <f>+'1-Bilan et état de  résultat'!D138</f>
        <v>75231.706</v>
      </c>
      <c r="C19" s="106">
        <v>1</v>
      </c>
      <c r="E19" s="62" t="e">
        <f>+'1-Bilan et état de  résultat'!#REF!</f>
        <v>#REF!</v>
      </c>
      <c r="F19" s="88" t="e">
        <f t="shared" si="1"/>
        <v>#REF!</v>
      </c>
    </row>
    <row r="20" spans="1:6" ht="15.75" hidden="1">
      <c r="A20" s="42" t="str">
        <f>+'1-Bilan et état de  résultat'!A139</f>
        <v>Autres pertes ordinaires</v>
      </c>
      <c r="B20" s="62">
        <f>+'1-Bilan et état de  résultat'!D139</f>
        <v>-66054.167</v>
      </c>
      <c r="C20" s="106">
        <f>+(B20-D20)/D20</f>
        <v>2.5697236813661912</v>
      </c>
      <c r="D20" s="62">
        <f>+'1-Bilan et état de  résultat'!E139</f>
        <v>-18504</v>
      </c>
      <c r="E20" s="62" t="e">
        <f>+'1-Bilan et état de  résultat'!#REF!</f>
        <v>#REF!</v>
      </c>
      <c r="F20" s="88" t="e">
        <f t="shared" si="1"/>
        <v>#REF!</v>
      </c>
    </row>
    <row r="21" spans="1:6" s="86" customFormat="1" ht="40.5">
      <c r="A21" s="98" t="str">
        <f>+'1-Bilan et état de  résultat'!A142</f>
        <v>Résultat des activités ordinaires avant impôt</v>
      </c>
      <c r="B21" s="86">
        <f>+'1-Bilan et état de  résultat'!D142</f>
        <v>1322659.3199999994</v>
      </c>
      <c r="C21" s="106">
        <f t="shared" si="0"/>
        <v>0.05423252982123761</v>
      </c>
      <c r="D21" s="86">
        <f>+'1-Bilan et état de  résultat'!E142</f>
        <v>1254618.2009999994</v>
      </c>
      <c r="E21" s="86" t="e">
        <f>+'1-Bilan et état de  résultat'!#REF!</f>
        <v>#REF!</v>
      </c>
      <c r="F21" s="89" t="e">
        <f t="shared" si="1"/>
        <v>#REF!</v>
      </c>
    </row>
    <row r="22" spans="1:6" ht="15.75">
      <c r="A22" s="42" t="str">
        <f>+'1-Bilan et état de  résultat'!A144</f>
        <v>Impôt sur les bénéfices</v>
      </c>
      <c r="B22" s="62">
        <f>+'1-Bilan et état de  résultat'!D144</f>
        <v>0</v>
      </c>
      <c r="C22" s="106">
        <f t="shared" si="0"/>
        <v>-1</v>
      </c>
      <c r="D22" s="62">
        <f>+'1-Bilan et état de  résultat'!E144</f>
        <v>-218829</v>
      </c>
      <c r="E22" s="62" t="e">
        <f>+'1-Bilan et état de  résultat'!#REF!</f>
        <v>#REF!</v>
      </c>
      <c r="F22" s="88" t="e">
        <f t="shared" si="1"/>
        <v>#REF!</v>
      </c>
    </row>
    <row r="23" spans="1:6" s="86" customFormat="1" ht="40.5">
      <c r="A23" s="98" t="str">
        <f>+'1-Bilan et état de  résultat'!A146</f>
        <v>Résultat des activités ordinaires après impôt</v>
      </c>
      <c r="B23" s="86">
        <f>+'1-Bilan et état de  résultat'!D146</f>
        <v>1322659.3199999994</v>
      </c>
      <c r="C23" s="106">
        <f t="shared" si="0"/>
        <v>0.276958013004038</v>
      </c>
      <c r="D23" s="86">
        <f>+'1-Bilan et état de  résultat'!E146</f>
        <v>1035789.2009999994</v>
      </c>
      <c r="E23" s="86" t="e">
        <f>+'1-Bilan et état de  résultat'!#REF!</f>
        <v>#REF!</v>
      </c>
      <c r="F23" s="88" t="e">
        <f t="shared" si="1"/>
        <v>#REF!</v>
      </c>
    </row>
    <row r="24" spans="1:5" ht="15.75">
      <c r="A24" s="42" t="str">
        <f>+'1-Bilan et état de  résultat'!A148</f>
        <v>Eléments extraordinaires</v>
      </c>
      <c r="B24" s="62">
        <f>+'1-Bilan et état de  résultat'!D148</f>
        <v>0</v>
      </c>
      <c r="D24" s="62">
        <f>+'1-Bilan et état de  résultat'!E148</f>
        <v>0</v>
      </c>
      <c r="E24" s="62" t="e">
        <f>+'1-Bilan et état de  résultat'!#REF!</f>
        <v>#REF!</v>
      </c>
    </row>
    <row r="25" spans="2:5" ht="15.75">
      <c r="B25" s="50"/>
      <c r="D25" s="50"/>
      <c r="E25" s="50"/>
    </row>
  </sheetData>
  <sheetProtection/>
  <mergeCells count="2">
    <mergeCell ref="B3:H3"/>
    <mergeCell ref="A2:B2"/>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7:E31"/>
  <sheetViews>
    <sheetView view="pageBreakPreview" zoomScale="60" zoomScalePageLayoutView="0" workbookViewId="0" topLeftCell="A1">
      <selection activeCell="K40" sqref="K40"/>
    </sheetView>
  </sheetViews>
  <sheetFormatPr defaultColWidth="11.421875" defaultRowHeight="12.75"/>
  <cols>
    <col min="1" max="1" width="41.140625" style="42" bestFit="1" customWidth="1"/>
    <col min="2" max="2" width="13.8515625" style="42" customWidth="1"/>
    <col min="3" max="3" width="10.28125" style="88" hidden="1" customWidth="1"/>
    <col min="4" max="4" width="14.421875" style="42" customWidth="1"/>
    <col min="5" max="5" width="12.28125" style="42" hidden="1" customWidth="1"/>
    <col min="6" max="16384" width="11.421875" style="42" customWidth="1"/>
  </cols>
  <sheetData>
    <row r="7" spans="2:5" ht="20.25">
      <c r="B7" s="167" t="s">
        <v>166</v>
      </c>
      <c r="C7" s="167"/>
      <c r="D7" s="167"/>
      <c r="E7" s="167"/>
    </row>
    <row r="12" spans="2:5" s="43" customFormat="1" ht="15.75">
      <c r="B12" s="55">
        <f>+'1-Bilan et état de  résultat'!D111</f>
        <v>40178</v>
      </c>
      <c r="C12" s="87" t="s">
        <v>165</v>
      </c>
      <c r="D12" s="55">
        <f>+'1-Bilan et état de  résultat'!E111</f>
        <v>39813</v>
      </c>
      <c r="E12" s="87" t="s">
        <v>165</v>
      </c>
    </row>
    <row r="13" spans="1:5" ht="15.75">
      <c r="A13" s="42" t="str">
        <f>+'1-Bilan et état de  résultat'!A115</f>
        <v>Revenus </v>
      </c>
      <c r="B13" s="62">
        <f>+'1-Bilan et état de  résultat'!D115</f>
        <v>7392943.574</v>
      </c>
      <c r="C13" s="108">
        <f>+B13/B$13</f>
        <v>1</v>
      </c>
      <c r="D13" s="62">
        <f>+'1-Bilan et état de  résultat'!E115</f>
        <v>6848894</v>
      </c>
      <c r="E13" s="108">
        <f>+D13/D$13</f>
        <v>1</v>
      </c>
    </row>
    <row r="14" spans="1:5" ht="15.75">
      <c r="A14" s="42" t="str">
        <f>+'1-Bilan et état de  résultat'!A116</f>
        <v>Autres produits d'exploitation</v>
      </c>
      <c r="B14" s="62">
        <f>+'1-Bilan et état de  résultat'!D116</f>
        <v>0</v>
      </c>
      <c r="C14" s="108">
        <f>+B14/B$13</f>
        <v>0</v>
      </c>
      <c r="D14" s="62">
        <f>+'1-Bilan et état de  résultat'!E116</f>
        <v>0</v>
      </c>
      <c r="E14" s="108">
        <f aca="true" t="shared" si="0" ref="E14:E20">+D14/D$13</f>
        <v>0</v>
      </c>
    </row>
    <row r="15" spans="1:5" ht="15.75">
      <c r="A15" s="42" t="str">
        <f>+'1-Bilan et état de  résultat'!A117</f>
        <v>Transfert de charges</v>
      </c>
      <c r="B15" s="62">
        <f>+'1-Bilan et état de  résultat'!D117</f>
        <v>0</v>
      </c>
      <c r="C15" s="99"/>
      <c r="D15" s="62">
        <f>+'1-Bilan et état de  résultat'!E117</f>
        <v>0</v>
      </c>
      <c r="E15" s="108">
        <f t="shared" si="0"/>
        <v>0</v>
      </c>
    </row>
    <row r="16" spans="1:5" ht="15.75">
      <c r="A16" s="42" t="str">
        <f>+'1-Bilan et état de  résultat'!A125</f>
        <v>*   Achats d'approvis consommés</v>
      </c>
      <c r="B16" s="62">
        <f>+'1-Bilan et état de  résultat'!D125</f>
        <v>3585068.3249999997</v>
      </c>
      <c r="C16" s="108">
        <f>+B16/B$13</f>
        <v>0.4849311088492828</v>
      </c>
      <c r="D16" s="62">
        <f>+'1-Bilan et état de  résultat'!E125</f>
        <v>2766029.8540000003</v>
      </c>
      <c r="E16" s="108">
        <f t="shared" si="0"/>
        <v>0.40386518670021765</v>
      </c>
    </row>
    <row r="17" spans="1:5" ht="15.75">
      <c r="A17" s="42" t="str">
        <f>+'1-Bilan et état de  résultat'!A126</f>
        <v>*   Charges de personnels</v>
      </c>
      <c r="B17" s="62">
        <f>+'1-Bilan et état de  résultat'!D126</f>
        <v>577659.552</v>
      </c>
      <c r="C17" s="108">
        <f>+B17/B$13</f>
        <v>0.0781366104337049</v>
      </c>
      <c r="D17" s="62">
        <f>+'1-Bilan et état de  résultat'!E126</f>
        <v>548069</v>
      </c>
      <c r="E17" s="108">
        <f t="shared" si="0"/>
        <v>0.08002299349354801</v>
      </c>
    </row>
    <row r="18" spans="1:5" ht="15.75">
      <c r="A18" s="42" t="str">
        <f>+'1-Bilan et état de  résultat'!A127</f>
        <v>*   Dotation aux amortissements et prov</v>
      </c>
      <c r="B18" s="62">
        <f>+'1-Bilan et état de  résultat'!D127</f>
        <v>129646.636</v>
      </c>
      <c r="C18" s="108">
        <f>+B18/B$13</f>
        <v>0.01753653801118542</v>
      </c>
      <c r="D18" s="62">
        <f>+'1-Bilan et état de  résultat'!E127</f>
        <v>103452</v>
      </c>
      <c r="E18" s="108">
        <f t="shared" si="0"/>
        <v>0.015104920590098197</v>
      </c>
    </row>
    <row r="19" spans="1:5" ht="15.75">
      <c r="A19" s="42" t="str">
        <f>+'1-Bilan et état de  résultat'!A128</f>
        <v>*   Autres charges d'exploitations</v>
      </c>
      <c r="B19" s="62">
        <f>+'1-Bilan et état de  résultat'!D128</f>
        <v>2279196.89</v>
      </c>
      <c r="C19" s="108">
        <f>+B19/B$13</f>
        <v>0.3082935595526027</v>
      </c>
      <c r="D19" s="62">
        <f>+'1-Bilan et état de  résultat'!E128</f>
        <v>2072931</v>
      </c>
      <c r="E19" s="108">
        <f t="shared" si="0"/>
        <v>0.30266653272776595</v>
      </c>
    </row>
    <row r="20" spans="1:5" ht="15.75">
      <c r="A20" s="42" t="str">
        <f>+'1-Bilan et état de  résultat'!A129</f>
        <v>*   Variation des stocks de produits finis</v>
      </c>
      <c r="B20" s="62">
        <f>+'1-Bilan et état de  résultat'!D129</f>
        <v>-554517.251</v>
      </c>
      <c r="C20" s="108">
        <f>+B20/B$13</f>
        <v>-0.07500628747528434</v>
      </c>
      <c r="D20" s="62">
        <f>+'1-Bilan et état de  résultat'!E129</f>
        <v>152110.94500000007</v>
      </c>
      <c r="E20" s="108">
        <f t="shared" si="0"/>
        <v>0.022209563325114985</v>
      </c>
    </row>
    <row r="21" spans="1:5" s="86" customFormat="1" ht="20.25">
      <c r="A21" s="98" t="str">
        <f>+'1-Bilan et état de  résultat'!A134</f>
        <v>RESULTAT D'EXPLOITATION</v>
      </c>
      <c r="B21" s="86">
        <f>+'1-Bilan et état de  résultat'!D134</f>
        <v>1375889.4219999993</v>
      </c>
      <c r="C21" s="109">
        <f aca="true" t="shared" si="1" ref="C21:C29">+B21/B$13</f>
        <v>0.18610847062850847</v>
      </c>
      <c r="D21" s="86">
        <f>+'1-Bilan et état de  résultat'!E134</f>
        <v>1206301.2009999994</v>
      </c>
      <c r="E21" s="109">
        <f aca="true" t="shared" si="2" ref="E21:E29">+D21/D$13</f>
        <v>0.1761308031632552</v>
      </c>
    </row>
    <row r="22" spans="1:5" ht="15.75">
      <c r="A22" s="42" t="str">
        <f>+'1-Bilan et état de  résultat'!A136</f>
        <v>Charges financieres nettes</v>
      </c>
      <c r="B22" s="62">
        <f>+'1-Bilan et état de  résultat'!D136</f>
        <v>-66870.909</v>
      </c>
      <c r="C22" s="108">
        <f t="shared" si="1"/>
        <v>-0.009045234598459009</v>
      </c>
      <c r="D22" s="62">
        <f>+'1-Bilan et état de  résultat'!E136</f>
        <v>-26524</v>
      </c>
      <c r="E22" s="108">
        <f t="shared" si="2"/>
        <v>-0.003872742080692153</v>
      </c>
    </row>
    <row r="23" spans="1:5" ht="15.75">
      <c r="A23" s="42" t="str">
        <f>+'1-Bilan et état de  résultat'!A137</f>
        <v>Produits des placements</v>
      </c>
      <c r="B23" s="62">
        <f>+'1-Bilan et état de  résultat'!D137</f>
        <v>4463.268</v>
      </c>
      <c r="C23" s="108"/>
      <c r="D23" s="62">
        <f>+'1-Bilan et état de  résultat'!E137</f>
        <v>32391</v>
      </c>
      <c r="E23" s="108"/>
    </row>
    <row r="24" spans="1:5" ht="15.75">
      <c r="A24" s="42" t="str">
        <f>+'1-Bilan et état de  résultat'!A138</f>
        <v>Autres Gains ordinaires</v>
      </c>
      <c r="B24" s="62">
        <f>+'1-Bilan et état de  résultat'!D138</f>
        <v>75231.706</v>
      </c>
      <c r="C24" s="108">
        <f t="shared" si="1"/>
        <v>0.010176150439532626</v>
      </c>
      <c r="D24" s="62">
        <f>+'1-Bilan et état de  résultat'!E139</f>
        <v>-18504</v>
      </c>
      <c r="E24" s="108">
        <f t="shared" si="2"/>
        <v>-0.0027017500927887044</v>
      </c>
    </row>
    <row r="25" spans="1:5" ht="15.75" hidden="1">
      <c r="A25" s="42" t="str">
        <f>+'1-Bilan et état de  résultat'!A139</f>
        <v>Autres pertes ordinaires</v>
      </c>
      <c r="B25" s="62">
        <f>+'1-Bilan et état de  résultat'!D139</f>
        <v>-66054.167</v>
      </c>
      <c r="C25" s="108"/>
      <c r="D25" s="62" t="e">
        <f>+'1-Bilan et état de  résultat'!#REF!</f>
        <v>#REF!</v>
      </c>
      <c r="E25" s="99"/>
    </row>
    <row r="26" spans="1:5" ht="15.75">
      <c r="A26" s="42" t="str">
        <f>+'1-Bilan et état de  résultat'!A140</f>
        <v>Transfert de charges</v>
      </c>
      <c r="B26" s="62">
        <f>+'1-Bilan et état de  résultat'!D140</f>
        <v>0</v>
      </c>
      <c r="C26" s="108"/>
      <c r="D26" s="62">
        <f>+'1-Bilan et état de  résultat'!E140</f>
        <v>0</v>
      </c>
      <c r="E26" s="99"/>
    </row>
    <row r="27" spans="1:5" s="86" customFormat="1" ht="40.5">
      <c r="A27" s="98" t="str">
        <f>+'1-Bilan et état de  résultat'!A142</f>
        <v>Résultat des activités ordinaires avant impôt</v>
      </c>
      <c r="B27" s="86">
        <f>+'1-Bilan et état de  résultat'!D142</f>
        <v>1322659.3199999994</v>
      </c>
      <c r="C27" s="109">
        <f t="shared" si="1"/>
        <v>0.17890834777254574</v>
      </c>
      <c r="D27" s="86">
        <f>+'1-Bilan et état de  résultat'!E142</f>
        <v>1254618.2009999994</v>
      </c>
      <c r="E27" s="109">
        <f t="shared" si="2"/>
        <v>0.18318551885895729</v>
      </c>
    </row>
    <row r="28" spans="1:5" ht="15.75">
      <c r="A28" s="42" t="str">
        <f>+'1-Bilan et état de  résultat'!A144</f>
        <v>Impôt sur les bénéfices</v>
      </c>
      <c r="B28" s="62">
        <f>+'1-Bilan et état de  résultat'!D144</f>
        <v>0</v>
      </c>
      <c r="C28" s="99">
        <f t="shared" si="1"/>
        <v>0</v>
      </c>
      <c r="D28" s="62">
        <f>+'1-Bilan et état de  résultat'!E144</f>
        <v>-218829</v>
      </c>
      <c r="E28" s="108">
        <f t="shared" si="2"/>
        <v>-0.03195099821956655</v>
      </c>
    </row>
    <row r="29" spans="1:5" s="86" customFormat="1" ht="40.5">
      <c r="A29" s="98" t="str">
        <f>+'1-Bilan et état de  résultat'!A146</f>
        <v>Résultat des activités ordinaires après impôt</v>
      </c>
      <c r="B29" s="86">
        <f>+'1-Bilan et état de  résultat'!D146</f>
        <v>1322659.3199999994</v>
      </c>
      <c r="C29" s="109">
        <f t="shared" si="1"/>
        <v>0.17890834777254574</v>
      </c>
      <c r="D29" s="86">
        <f>+'1-Bilan et état de  résultat'!E146</f>
        <v>1035789.2009999994</v>
      </c>
      <c r="E29" s="109">
        <f t="shared" si="2"/>
        <v>0.15123452063939075</v>
      </c>
    </row>
    <row r="30" spans="1:5" ht="15.75">
      <c r="A30" s="42" t="str">
        <f>+'1-Bilan et état de  résultat'!A148</f>
        <v>Eléments extraordinaires</v>
      </c>
      <c r="B30" s="62">
        <f>+'1-Bilan et état de  résultat'!D148</f>
        <v>0</v>
      </c>
      <c r="D30" s="62">
        <f>+'1-Bilan et état de  résultat'!E148</f>
        <v>0</v>
      </c>
      <c r="E30" s="62"/>
    </row>
    <row r="31" spans="2:5" ht="15.75">
      <c r="B31" s="50"/>
      <c r="D31" s="50"/>
      <c r="E31" s="50"/>
    </row>
  </sheetData>
  <sheetProtection/>
  <mergeCells count="1">
    <mergeCell ref="B7:E7"/>
  </mergeCells>
  <printOptions/>
  <pageMargins left="0.787401575" right="0.787401575" top="0.984251969" bottom="0.984251969" header="0.4921259845" footer="0.4921259845"/>
  <pageSetup horizontalDpi="600" verticalDpi="600" orientation="portrait" paperSize="9" scale="68" r:id="rId2"/>
  <rowBreaks count="1" manualBreakCount="1">
    <brk id="30" max="255" man="1"/>
  </rowBreaks>
  <ignoredErrors>
    <ignoredError sqref="D13:D38" formula="1"/>
  </ignoredErrors>
  <drawing r:id="rId1"/>
</worksheet>
</file>

<file path=xl/worksheets/sheet6.xml><?xml version="1.0" encoding="utf-8"?>
<worksheet xmlns="http://schemas.openxmlformats.org/spreadsheetml/2006/main" xmlns:r="http://schemas.openxmlformats.org/officeDocument/2006/relationships">
  <dimension ref="B6:F24"/>
  <sheetViews>
    <sheetView tabSelected="1" zoomScalePageLayoutView="0" workbookViewId="0" topLeftCell="A3">
      <selection activeCell="I13" sqref="I13"/>
    </sheetView>
  </sheetViews>
  <sheetFormatPr defaultColWidth="11.421875" defaultRowHeight="12.75"/>
  <cols>
    <col min="1" max="1" width="11.421875" style="42" customWidth="1"/>
    <col min="2" max="2" width="41.00390625" style="42" bestFit="1" customWidth="1"/>
    <col min="3" max="3" width="12.7109375" style="42" bestFit="1" customWidth="1"/>
    <col min="4" max="4" width="18.140625" style="42" bestFit="1" customWidth="1"/>
    <col min="5" max="16384" width="11.421875" style="42" customWidth="1"/>
  </cols>
  <sheetData>
    <row r="6" spans="2:6" ht="20.25">
      <c r="B6" s="170" t="s">
        <v>170</v>
      </c>
      <c r="C6" s="170"/>
      <c r="D6" s="170"/>
      <c r="E6" s="91"/>
      <c r="F6" s="91"/>
    </row>
    <row r="9" spans="2:5" ht="18">
      <c r="B9" s="96" t="s">
        <v>167</v>
      </c>
      <c r="C9" s="92">
        <f>+'1-Bilan et état de  résultat'!D111</f>
        <v>40178</v>
      </c>
      <c r="D9" s="92">
        <f>+'1-Bilan et état de  résultat'!E111</f>
        <v>39813</v>
      </c>
      <c r="E9" s="85"/>
    </row>
    <row r="10" spans="2:4" ht="15.75">
      <c r="B10" s="46" t="str">
        <f>+'7- Vari des cptes de gestion'!A13</f>
        <v>Revenus </v>
      </c>
      <c r="C10" s="93">
        <f>+'7- Vari des cptes de gestion'!C13</f>
        <v>1</v>
      </c>
      <c r="D10" s="93">
        <f>+'7- Vari des cptes de gestion'!E13</f>
        <v>1</v>
      </c>
    </row>
    <row r="11" spans="2:4" ht="15.75">
      <c r="B11" s="46" t="str">
        <f>+'7- Vari des cptes de gestion'!A14</f>
        <v>Autres produits d'exploitation</v>
      </c>
      <c r="C11" s="93">
        <f>+'7- Vari des cptes de gestion'!C14</f>
        <v>0</v>
      </c>
      <c r="D11" s="93">
        <f>+'7- Vari des cptes de gestion'!E14</f>
        <v>0</v>
      </c>
    </row>
    <row r="12" spans="2:4" ht="15.75">
      <c r="B12" s="46" t="str">
        <f>+'7- Vari des cptes de gestion'!A16</f>
        <v>*   Achats d'approvis consommés</v>
      </c>
      <c r="C12" s="93">
        <f>+'7- Vari des cptes de gestion'!C16</f>
        <v>0.4849311088492828</v>
      </c>
      <c r="D12" s="93">
        <f>+'7- Vari des cptes de gestion'!E16</f>
        <v>0.40386518670021765</v>
      </c>
    </row>
    <row r="13" spans="2:4" ht="15.75">
      <c r="B13" s="46" t="str">
        <f>+'7- Vari des cptes de gestion'!A17</f>
        <v>*   Charges de personnels</v>
      </c>
      <c r="C13" s="93">
        <f>+'7- Vari des cptes de gestion'!C17</f>
        <v>0.0781366104337049</v>
      </c>
      <c r="D13" s="93">
        <f>+'7- Vari des cptes de gestion'!E17</f>
        <v>0.08002299349354801</v>
      </c>
    </row>
    <row r="14" spans="2:4" ht="15.75">
      <c r="B14" s="46" t="str">
        <f>+'7- Vari des cptes de gestion'!A18</f>
        <v>*   Dotation aux amortissements et prov</v>
      </c>
      <c r="C14" s="93">
        <f>+'7- Vari des cptes de gestion'!C18</f>
        <v>0.01753653801118542</v>
      </c>
      <c r="D14" s="93">
        <f>+'7- Vari des cptes de gestion'!E18</f>
        <v>0.015104920590098197</v>
      </c>
    </row>
    <row r="15" spans="2:4" ht="15.75">
      <c r="B15" s="46" t="str">
        <f>+'7- Vari des cptes de gestion'!A19</f>
        <v>*   Autres charges d'exploitations</v>
      </c>
      <c r="C15" s="93">
        <f>+'7- Vari des cptes de gestion'!C19</f>
        <v>0.3082935595526027</v>
      </c>
      <c r="D15" s="93">
        <f>+'7- Vari des cptes de gestion'!E19</f>
        <v>0.30266653272776595</v>
      </c>
    </row>
    <row r="16" spans="2:4" ht="15.75">
      <c r="B16" s="46" t="str">
        <f>+'7- Vari des cptes de gestion'!A20</f>
        <v>*   Variation des stocks de produits finis</v>
      </c>
      <c r="C16" s="93">
        <f>+'7- Vari des cptes de gestion'!C20</f>
        <v>-0.07500628747528434</v>
      </c>
      <c r="D16" s="93">
        <f>+'7- Vari des cptes de gestion'!E20</f>
        <v>0.022209563325114985</v>
      </c>
    </row>
    <row r="17" spans="2:4" ht="15.75">
      <c r="B17" s="94" t="str">
        <f>+'7- Vari des cptes de gestion'!A21</f>
        <v>RESULTAT D'EXPLOITATION</v>
      </c>
      <c r="C17" s="95">
        <f>+'7- Vari des cptes de gestion'!C21</f>
        <v>0.18610847062850847</v>
      </c>
      <c r="D17" s="95">
        <f>+'7- Vari des cptes de gestion'!E21</f>
        <v>0.1761308031632552</v>
      </c>
    </row>
    <row r="18" spans="2:4" ht="15.75">
      <c r="B18" s="46" t="str">
        <f>+'7- Vari des cptes de gestion'!A22</f>
        <v>Charges financieres nettes</v>
      </c>
      <c r="C18" s="93">
        <f>+'7- Vari des cptes de gestion'!C22</f>
        <v>-0.009045234598459009</v>
      </c>
      <c r="D18" s="93">
        <f>+'7- Vari des cptes de gestion'!E22</f>
        <v>-0.003872742080692153</v>
      </c>
    </row>
    <row r="19" spans="2:4" ht="15.75">
      <c r="B19" s="46" t="str">
        <f>+'7- Vari des cptes de gestion'!A23</f>
        <v>Produits des placements</v>
      </c>
      <c r="C19" s="93">
        <f>+'7- Vari des cptes de gestion'!C23</f>
        <v>0</v>
      </c>
      <c r="D19" s="93">
        <f>+'7- Vari des cptes de gestion'!E23</f>
        <v>0</v>
      </c>
    </row>
    <row r="20" spans="2:4" ht="15.75">
      <c r="B20" s="46" t="str">
        <f>+'7- Vari des cptes de gestion'!A24</f>
        <v>Autres Gains ordinaires</v>
      </c>
      <c r="C20" s="93">
        <f>+'7- Vari des cptes de gestion'!C24</f>
        <v>0.010176150439532626</v>
      </c>
      <c r="D20" s="93">
        <f>+'7- Vari des cptes de gestion'!E24</f>
        <v>-0.0027017500927887044</v>
      </c>
    </row>
    <row r="21" spans="2:4" ht="15.75">
      <c r="B21" s="46" t="str">
        <f>+'7- Vari des cptes de gestion'!A25</f>
        <v>Autres pertes ordinaires</v>
      </c>
      <c r="C21" s="93">
        <f>+'7- Vari des cptes de gestion'!C25</f>
        <v>0</v>
      </c>
      <c r="D21" s="93">
        <f>+'7- Vari des cptes de gestion'!E25</f>
        <v>0</v>
      </c>
    </row>
    <row r="22" spans="2:4" ht="15.75">
      <c r="B22" s="94" t="str">
        <f>+'7- Vari des cptes de gestion'!A27</f>
        <v>Résultat des activités ordinaires avant impôt</v>
      </c>
      <c r="C22" s="95">
        <f>+'7- Vari des cptes de gestion'!C27</f>
        <v>0.17890834777254574</v>
      </c>
      <c r="D22" s="95">
        <f>+'7- Vari des cptes de gestion'!E27</f>
        <v>0.18318551885895729</v>
      </c>
    </row>
    <row r="23" spans="2:4" ht="15.75">
      <c r="B23" s="46" t="str">
        <f>+'7- Vari des cptes de gestion'!A28</f>
        <v>Impôt sur les bénéfices</v>
      </c>
      <c r="C23" s="93">
        <f>+'7- Vari des cptes de gestion'!C28</f>
        <v>0</v>
      </c>
      <c r="D23" s="93">
        <f>+'7- Vari des cptes de gestion'!E28</f>
        <v>-0.03195099821956655</v>
      </c>
    </row>
    <row r="24" spans="2:4" ht="15.75">
      <c r="B24" s="94" t="str">
        <f>+'7- Vari des cptes de gestion'!A29</f>
        <v>Résultat des activités ordinaires après impôt</v>
      </c>
      <c r="C24" s="95">
        <f>+'7- Vari des cptes de gestion'!C29</f>
        <v>0.17890834777254574</v>
      </c>
      <c r="D24" s="95">
        <f>+'7- Vari des cptes de gestion'!E29</f>
        <v>0.15123452063939075</v>
      </c>
    </row>
  </sheetData>
  <sheetProtection/>
  <mergeCells count="1">
    <mergeCell ref="B6:D6"/>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6:F21"/>
  <sheetViews>
    <sheetView zoomScalePageLayoutView="0" workbookViewId="0" topLeftCell="A1">
      <selection activeCell="F29" sqref="F29"/>
    </sheetView>
  </sheetViews>
  <sheetFormatPr defaultColWidth="11.421875" defaultRowHeight="12.75"/>
  <cols>
    <col min="1" max="1" width="14.28125" style="0" customWidth="1"/>
    <col min="2" max="2" width="33.7109375" style="0" bestFit="1" customWidth="1"/>
    <col min="3" max="3" width="14.8515625" style="0" bestFit="1" customWidth="1"/>
    <col min="4" max="4" width="14.8515625" style="31" bestFit="1" customWidth="1"/>
    <col min="6" max="6" width="16.421875" style="0" bestFit="1" customWidth="1"/>
  </cols>
  <sheetData>
    <row r="6" ht="12.75">
      <c r="D6" s="37"/>
    </row>
    <row r="7" ht="12.75">
      <c r="D7" s="37"/>
    </row>
    <row r="10" spans="2:4" ht="12.75">
      <c r="B10" s="29" t="s">
        <v>103</v>
      </c>
      <c r="C10" s="110">
        <v>39082</v>
      </c>
      <c r="D10" s="110">
        <v>38717</v>
      </c>
    </row>
    <row r="11" spans="2:6" ht="19.5" customHeight="1">
      <c r="B11" s="39" t="s">
        <v>173</v>
      </c>
      <c r="C11" s="111">
        <f>D12</f>
        <v>2964716</v>
      </c>
      <c r="D11" s="111">
        <v>3631082</v>
      </c>
      <c r="E11" s="40"/>
      <c r="F11" s="29" t="s">
        <v>174</v>
      </c>
    </row>
    <row r="12" spans="2:5" ht="19.5" customHeight="1">
      <c r="B12" s="39" t="s">
        <v>175</v>
      </c>
      <c r="C12" s="111">
        <f>'1-Bilan et état de  résultat'!D31</f>
        <v>2173708.997</v>
      </c>
      <c r="D12" s="111">
        <v>2964716</v>
      </c>
      <c r="E12" s="112"/>
    </row>
    <row r="13" spans="2:5" ht="19.5" customHeight="1">
      <c r="B13" s="39" t="s">
        <v>176</v>
      </c>
      <c r="C13" s="111">
        <f>+C14+C12-C11</f>
        <v>2794061.3219999997</v>
      </c>
      <c r="D13" s="111">
        <f>+D14+D12-D11</f>
        <v>2099663.8540000003</v>
      </c>
      <c r="E13" s="112"/>
    </row>
    <row r="14" spans="2:5" ht="19.5" customHeight="1">
      <c r="B14" s="39" t="s">
        <v>177</v>
      </c>
      <c r="C14" s="111">
        <f>'1-Bilan et état de  résultat'!D125</f>
        <v>3585068.3249999997</v>
      </c>
      <c r="D14" s="111">
        <f>'1-Bilan et état de  résultat'!E125</f>
        <v>2766029.8540000003</v>
      </c>
      <c r="E14" s="112"/>
    </row>
    <row r="15" spans="2:5" ht="19.5" customHeight="1">
      <c r="B15" s="39" t="s">
        <v>178</v>
      </c>
      <c r="C15" s="111">
        <f>'1-Bilan et état de  résultat'!D115</f>
        <v>7392943.574</v>
      </c>
      <c r="D15" s="111">
        <f>'1-Bilan et état de  résultat'!E115</f>
        <v>6848894</v>
      </c>
      <c r="E15" s="112"/>
    </row>
    <row r="16" spans="2:5" ht="19.5" customHeight="1">
      <c r="B16" s="39" t="s">
        <v>179</v>
      </c>
      <c r="C16" s="111">
        <v>0</v>
      </c>
      <c r="D16" s="111">
        <v>0</v>
      </c>
      <c r="E16" s="112"/>
    </row>
    <row r="17" spans="2:5" ht="19.5" customHeight="1">
      <c r="B17" s="40" t="s">
        <v>180</v>
      </c>
      <c r="C17" s="111">
        <f>'1-Bilan et état de  résultat'!E88</f>
        <v>1677176</v>
      </c>
      <c r="D17" s="111">
        <v>5699671</v>
      </c>
      <c r="E17" s="112"/>
    </row>
    <row r="18" spans="2:5" ht="17.25" customHeight="1">
      <c r="B18" s="40" t="s">
        <v>181</v>
      </c>
      <c r="C18" s="111">
        <f>'1-Bilan et état de  résultat'!E33</f>
        <v>2057599</v>
      </c>
      <c r="D18" s="111">
        <v>5016595</v>
      </c>
      <c r="E18" s="112"/>
    </row>
    <row r="21" spans="2:3" ht="12.75">
      <c r="B21" s="28"/>
      <c r="C21" s="28"/>
    </row>
  </sheetData>
  <sheetProtection/>
  <printOptions/>
  <pageMargins left="0.787401575" right="0.787401575" top="0.984251969" bottom="0.984251969" header="0.4921259845" footer="0.4921259845"/>
  <pageSetup horizontalDpi="600" verticalDpi="600" orientation="portrait" paperSize="9" r:id="rId1"/>
  <ignoredErrors>
    <ignoredError sqref="C17 C18 C11:C16 D14:D16" unlockedFormula="1"/>
  </ignoredErrors>
</worksheet>
</file>

<file path=xl/worksheets/sheet8.xml><?xml version="1.0" encoding="utf-8"?>
<worksheet xmlns="http://schemas.openxmlformats.org/spreadsheetml/2006/main" xmlns:r="http://schemas.openxmlformats.org/officeDocument/2006/relationships">
  <dimension ref="B6:G59"/>
  <sheetViews>
    <sheetView view="pageBreakPreview" zoomScale="85" zoomScaleSheetLayoutView="85" zoomScalePageLayoutView="0" workbookViewId="0" topLeftCell="A58">
      <selection activeCell="E89" sqref="E89"/>
    </sheetView>
  </sheetViews>
  <sheetFormatPr defaultColWidth="11.421875" defaultRowHeight="12.75"/>
  <cols>
    <col min="1" max="1" width="2.8515625" style="42" customWidth="1"/>
    <col min="2" max="2" width="31.8515625" style="42" customWidth="1"/>
    <col min="3" max="4" width="13.140625" style="42" customWidth="1"/>
    <col min="5" max="5" width="32.140625" style="42" customWidth="1"/>
    <col min="6" max="7" width="11.8515625" style="42" customWidth="1"/>
    <col min="8" max="16384" width="11.421875" style="42" customWidth="1"/>
  </cols>
  <sheetData>
    <row r="6" spans="2:7" ht="27.75" customHeight="1">
      <c r="B6" s="170" t="s">
        <v>57</v>
      </c>
      <c r="C6" s="170"/>
      <c r="D6" s="170"/>
      <c r="E6" s="170"/>
      <c r="F6" s="170"/>
      <c r="G6" s="170"/>
    </row>
    <row r="9" spans="2:7" ht="29.25" customHeight="1">
      <c r="B9" s="44" t="s">
        <v>103</v>
      </c>
      <c r="C9" s="45">
        <f>+'1-Bilan et état de  résultat'!D6</f>
        <v>40178</v>
      </c>
      <c r="D9" s="45">
        <f>+'1-Bilan et état de  résultat'!E6</f>
        <v>39813</v>
      </c>
      <c r="E9" s="44" t="s">
        <v>103</v>
      </c>
      <c r="F9" s="45">
        <f>+'1-Bilan et état de  résultat'!D6</f>
        <v>40178</v>
      </c>
      <c r="G9" s="45">
        <f>+'1-Bilan et état de  résultat'!E6</f>
        <v>39813</v>
      </c>
    </row>
    <row r="10" spans="2:7" ht="29.25" customHeight="1">
      <c r="B10" s="46" t="s">
        <v>58</v>
      </c>
      <c r="C10" s="47">
        <f>+'1-Bilan et état de  résultat'!D23</f>
        <v>3989130.4410000006</v>
      </c>
      <c r="D10" s="47">
        <f>+'1-Bilan et état de  résultat'!E23</f>
        <v>2661205</v>
      </c>
      <c r="E10" s="46" t="s">
        <v>172</v>
      </c>
      <c r="F10" s="47">
        <f>+'1-Bilan et état de  résultat'!D75-'1-Bilan et état de  résultat'!D25</f>
        <v>6853168.005</v>
      </c>
      <c r="G10" s="47">
        <f>+'1-Bilan et état de  résultat'!E75-'1-Bilan et état de  résultat'!E25</f>
        <v>5770509</v>
      </c>
    </row>
    <row r="11" spans="2:7" ht="29.25" customHeight="1">
      <c r="B11" s="46" t="s">
        <v>59</v>
      </c>
      <c r="C11" s="47">
        <f>+'1-Bilan et état de  résultat'!D31+'1-Bilan et état de  résultat'!D32</f>
        <v>2173708.997</v>
      </c>
      <c r="D11" s="47">
        <f>+'1-Bilan et état de  résultat'!E31+'1-Bilan et état de  résultat'!E32</f>
        <v>1782047</v>
      </c>
      <c r="E11" s="46" t="s">
        <v>184</v>
      </c>
      <c r="F11" s="47">
        <f>+'1-Bilan et état de  résultat'!D84</f>
        <v>383246.343</v>
      </c>
      <c r="G11" s="47">
        <f>+'1-Bilan et état de  résultat'!E84</f>
        <v>151823</v>
      </c>
    </row>
    <row r="12" spans="2:7" ht="29.25" customHeight="1">
      <c r="B12" s="46" t="s">
        <v>65</v>
      </c>
      <c r="C12" s="47">
        <f>+'1-Bilan et état de  résultat'!D33+'1-Bilan et état de  résultat'!D34</f>
        <v>2269538.913</v>
      </c>
      <c r="D12" s="47">
        <f>+'1-Bilan et état de  résultat'!E33+'1-Bilan et état de  résultat'!E34</f>
        <v>1867829</v>
      </c>
      <c r="E12" s="46" t="s">
        <v>62</v>
      </c>
      <c r="F12" s="47">
        <f>+'1-Bilan et état de  résultat'!D88</f>
        <v>2007517.7280000004</v>
      </c>
      <c r="G12" s="47">
        <f>+'1-Bilan et état de  résultat'!E88</f>
        <v>1677176</v>
      </c>
    </row>
    <row r="13" spans="2:7" ht="29.25" customHeight="1">
      <c r="B13" s="46" t="s">
        <v>66</v>
      </c>
      <c r="C13" s="47">
        <f>+'1-Bilan et état de  résultat'!D35+'1-Bilan et état de  résultat'!D36</f>
        <v>1086995.5040000002</v>
      </c>
      <c r="D13" s="47">
        <f>+'1-Bilan et état de  résultat'!E35+'1-Bilan et état de  résultat'!E36</f>
        <v>1171092</v>
      </c>
      <c r="E13" s="46" t="s">
        <v>63</v>
      </c>
      <c r="F13" s="47">
        <f>+'1-Bilan et état de  résultat'!D89</f>
        <v>720169.4770000001</v>
      </c>
      <c r="G13" s="47">
        <f>+'1-Bilan et état de  résultat'!E89</f>
        <v>1202420</v>
      </c>
    </row>
    <row r="14" spans="2:7" ht="29.25" customHeight="1">
      <c r="B14" s="46" t="s">
        <v>60</v>
      </c>
      <c r="C14" s="47">
        <f>+'1-Bilan et état de  résultat'!D38+'1-Bilan et état de  résultat'!D37</f>
        <v>963870.568</v>
      </c>
      <c r="D14" s="47">
        <f>+'1-Bilan et état de  résultat'!E38+'1-Bilan et état de  résultat'!E37</f>
        <v>1432238</v>
      </c>
      <c r="E14" s="46" t="s">
        <v>64</v>
      </c>
      <c r="F14" s="47">
        <f>+'1-Bilan et état de  résultat'!D90</f>
        <v>519142.628</v>
      </c>
      <c r="G14" s="47">
        <f>+'1-Bilan et état de  résultat'!E90</f>
        <v>112483</v>
      </c>
    </row>
    <row r="15" spans="2:7" ht="16.5" customHeight="1">
      <c r="B15" s="46"/>
      <c r="C15" s="46"/>
      <c r="D15" s="46"/>
      <c r="E15" s="46"/>
      <c r="F15" s="46"/>
      <c r="G15" s="46"/>
    </row>
    <row r="16" spans="2:7" ht="29.25" customHeight="1">
      <c r="B16" s="44" t="s">
        <v>112</v>
      </c>
      <c r="C16" s="48">
        <f>SUM(C10:C15)</f>
        <v>10483244.423000002</v>
      </c>
      <c r="D16" s="48">
        <f>SUM(D10:D15)</f>
        <v>8914411</v>
      </c>
      <c r="E16" s="44" t="s">
        <v>67</v>
      </c>
      <c r="F16" s="48">
        <f>SUM(F10:F15)</f>
        <v>10483244.181000002</v>
      </c>
      <c r="G16" s="48">
        <f>SUM(G10:G15)</f>
        <v>8914411</v>
      </c>
    </row>
    <row r="17" spans="2:7" ht="29.25" customHeight="1">
      <c r="B17" s="44" t="s">
        <v>68</v>
      </c>
      <c r="C17" s="48">
        <f>+'1-Bilan et état de  résultat'!D25</f>
        <v>0</v>
      </c>
      <c r="D17" s="48">
        <f>+'1-Bilan et état de  résultat'!E25</f>
        <v>0</v>
      </c>
      <c r="E17" s="44" t="s">
        <v>68</v>
      </c>
      <c r="F17" s="48">
        <f>+'1-Bilan et état de  résultat'!D95-'3-bilan de synthèse'!F16</f>
        <v>0</v>
      </c>
      <c r="G17" s="48">
        <f>+'1-Bilan et état de  résultat'!E95-'3-bilan de synthèse'!G16</f>
        <v>0</v>
      </c>
    </row>
    <row r="18" ht="15.75" hidden="1"/>
    <row r="19" spans="4:7" ht="15.75" hidden="1">
      <c r="D19" s="43" t="str">
        <f>IF(D16-G16=0,"Total vérifié","Total erronné")</f>
        <v>Total vérifié</v>
      </c>
      <c r="E19" s="43"/>
      <c r="F19" s="43"/>
      <c r="G19" s="43" t="str">
        <f>IF(D16-G16=0,"Total vérifié","Total erronné")</f>
        <v>Total vérifié</v>
      </c>
    </row>
    <row r="20" ht="15.75" hidden="1"/>
    <row r="21" ht="15.75" hidden="1"/>
    <row r="22" spans="2:4" ht="15.75" hidden="1">
      <c r="B22" s="49">
        <f>+D16-G16</f>
        <v>0</v>
      </c>
      <c r="C22" s="49"/>
      <c r="D22" s="42" t="str">
        <f>IF(B22=0,"Les informations saisies au niveau du bilan sont équilibrées","les informatios saisies au niveau du bilan sont déséquilibrées")</f>
        <v>Les informations saisies au niveau du bilan sont équilibrées</v>
      </c>
    </row>
    <row r="23" ht="15.75" hidden="1">
      <c r="D23" s="50"/>
    </row>
    <row r="24" spans="2:4" ht="15.75" hidden="1">
      <c r="B24" s="51">
        <f>+'1-Bilan et état de  résultat'!E150-'1-Bilan et état de  résultat'!E72</f>
        <v>330000.2009999994</v>
      </c>
      <c r="C24" s="51"/>
      <c r="D24" s="42" t="str">
        <f>IF(B24=0,"les informations saisie au niveau de l'état de résultat sont équilibrées","les informations saisies au niveau de l'état de résultat sont déséquilibrées")</f>
        <v>les informations saisies au niveau de l'état de résultat sont déséquilibrées</v>
      </c>
    </row>
    <row r="25" ht="15.75" hidden="1"/>
    <row r="27" ht="15.75">
      <c r="B27" s="42" t="s">
        <v>185</v>
      </c>
    </row>
    <row r="59" ht="15.75">
      <c r="B59" s="42" t="s">
        <v>186</v>
      </c>
    </row>
  </sheetData>
  <sheetProtection/>
  <mergeCells count="1">
    <mergeCell ref="B6:G6"/>
  </mergeCells>
  <conditionalFormatting sqref="B22:C22 B24:C24">
    <cfRule type="cellIs" priority="1" dxfId="0" operator="notBetween" stopIfTrue="1">
      <formula>-0.3</formula>
      <formula>0.3</formula>
    </cfRule>
  </conditionalFormatting>
  <printOptions/>
  <pageMargins left="0.787401575" right="0.787401575" top="0.984251969" bottom="0.984251969" header="0.4921259845" footer="0.4921259845"/>
  <pageSetup horizontalDpi="600" verticalDpi="600" orientation="landscape" paperSize="9" scale="77" r:id="rId2"/>
  <rowBreaks count="2" manualBreakCount="2">
    <brk id="26" min="1" max="10" man="1"/>
    <brk id="58" min="1" max="10" man="1"/>
  </rowBreaks>
  <drawing r:id="rId1"/>
</worksheet>
</file>

<file path=xl/worksheets/sheet9.xml><?xml version="1.0" encoding="utf-8"?>
<worksheet xmlns="http://schemas.openxmlformats.org/spreadsheetml/2006/main" xmlns:r="http://schemas.openxmlformats.org/officeDocument/2006/relationships">
  <dimension ref="B6:E67"/>
  <sheetViews>
    <sheetView view="pageBreakPreview" zoomScaleSheetLayoutView="100" zoomScalePageLayoutView="0" workbookViewId="0" topLeftCell="B39">
      <selection activeCell="D66" sqref="D66"/>
    </sheetView>
  </sheetViews>
  <sheetFormatPr defaultColWidth="11.421875" defaultRowHeight="12.75"/>
  <cols>
    <col min="1" max="1" width="5.28125" style="42" customWidth="1"/>
    <col min="2" max="2" width="33.00390625" style="42" bestFit="1" customWidth="1"/>
    <col min="3" max="3" width="38.421875" style="52" customWidth="1"/>
    <col min="4" max="4" width="14.421875" style="52" bestFit="1" customWidth="1"/>
    <col min="5" max="5" width="14.421875" style="42" bestFit="1" customWidth="1"/>
    <col min="6" max="16384" width="11.421875" style="42" customWidth="1"/>
  </cols>
  <sheetData>
    <row r="1" ht="15.75"/>
    <row r="2" ht="15.75"/>
    <row r="3" ht="15.75"/>
    <row r="4" ht="15.75"/>
    <row r="5" ht="15.75"/>
    <row r="6" spans="2:5" ht="23.25" customHeight="1">
      <c r="B6" s="170" t="s">
        <v>69</v>
      </c>
      <c r="C6" s="170"/>
      <c r="D6" s="170"/>
      <c r="E6" s="170"/>
    </row>
    <row r="7" ht="15.75"/>
    <row r="8" ht="15.75"/>
    <row r="9" spans="2:5" ht="15.75">
      <c r="B9" s="54" t="s">
        <v>76</v>
      </c>
      <c r="D9" s="55">
        <f>+'1-Bilan et état de  résultat'!D6</f>
        <v>40178</v>
      </c>
      <c r="E9" s="55">
        <f>+'1-Bilan et état de  résultat'!E6</f>
        <v>39813</v>
      </c>
    </row>
    <row r="10" ht="15.75"/>
    <row r="11" spans="2:5" ht="17.25" customHeight="1">
      <c r="B11" s="56" t="s">
        <v>70</v>
      </c>
      <c r="C11" s="57" t="s">
        <v>71</v>
      </c>
      <c r="D11" s="68">
        <f>+('3-bilan de synthèse'!C10)/('1-Bilan et état de  résultat'!D48-'1-Bilan et état de  résultat'!D25)</f>
        <v>0.38052441401136644</v>
      </c>
      <c r="E11" s="68">
        <f>+('3-bilan de synthèse'!D10)/('1-Bilan et état de  résultat'!E48-'1-Bilan et état de  résultat'!E25)</f>
        <v>0.29852841651568457</v>
      </c>
    </row>
    <row r="12" spans="2:5" ht="15.75">
      <c r="B12" s="43"/>
      <c r="C12" s="52" t="s">
        <v>72</v>
      </c>
      <c r="E12" s="58"/>
    </row>
    <row r="13" spans="2:5" ht="15.75">
      <c r="B13" s="43"/>
      <c r="E13" s="58"/>
    </row>
    <row r="14" spans="2:5" ht="15.75">
      <c r="B14" s="43" t="s">
        <v>73</v>
      </c>
      <c r="C14" s="59" t="s">
        <v>74</v>
      </c>
      <c r="D14" s="68">
        <f>('1-Bilan et état de  résultat'!D16+'1-Bilan et état de  résultat'!D19)/(-'1-Bilan et état de  résultat'!D15-'1-Bilan et état de  résultat'!D18)</f>
        <v>0.6181377212530518</v>
      </c>
      <c r="E14" s="68">
        <f>('1-Bilan et état de  résultat'!E16+'1-Bilan et état de  résultat'!E19)/(-'1-Bilan et état de  résultat'!E15-'1-Bilan et état de  résultat'!E18)</f>
        <v>0.8006122407560666</v>
      </c>
    </row>
    <row r="15" spans="3:5" ht="15.75">
      <c r="C15" s="52" t="s">
        <v>75</v>
      </c>
      <c r="E15" s="58"/>
    </row>
    <row r="16" ht="15.75">
      <c r="E16" s="58"/>
    </row>
    <row r="17" spans="2:5" ht="15.75">
      <c r="B17" s="43" t="s">
        <v>115</v>
      </c>
      <c r="C17" s="59" t="s">
        <v>116</v>
      </c>
      <c r="D17" s="68">
        <f>+'1-Bilan et état de  résultat'!D33/'1-Bilan et état de  résultat'!D48</f>
        <v>0.23444300646160754</v>
      </c>
      <c r="E17" s="68">
        <f>+'1-Bilan et état de  résultat'!E33/'1-Bilan et état de  résultat'!E48</f>
        <v>0.23081715662425706</v>
      </c>
    </row>
    <row r="18" spans="3:5" ht="15.75">
      <c r="C18" s="52" t="s">
        <v>114</v>
      </c>
      <c r="E18" s="58"/>
    </row>
    <row r="19" ht="15.75">
      <c r="E19" s="58"/>
    </row>
    <row r="20" ht="15.75"/>
    <row r="21" ht="15.75">
      <c r="E21" s="58"/>
    </row>
    <row r="22" spans="2:5" ht="15.75">
      <c r="B22" s="54" t="s">
        <v>77</v>
      </c>
      <c r="E22" s="58"/>
    </row>
    <row r="23" ht="15.75">
      <c r="E23" s="60"/>
    </row>
    <row r="24" ht="15.75">
      <c r="E24" s="58"/>
    </row>
    <row r="25" spans="2:5" ht="15.75">
      <c r="B25" s="43" t="s">
        <v>78</v>
      </c>
      <c r="C25" s="59" t="s">
        <v>79</v>
      </c>
      <c r="D25" s="68">
        <f>+('3-bilan de synthèse'!F11+'3-bilan de synthèse'!F12+'3-bilan de synthèse'!F13+'3-bilan de synthèse'!F14)/'3-bilan de synthèse'!F10</f>
        <v>0.5296931540787465</v>
      </c>
      <c r="E25" s="68">
        <f>+('3-bilan de synthèse'!G11+'3-bilan de synthèse'!G12+'3-bilan de synthèse'!G13+'3-bilan de synthèse'!G14)/'3-bilan de synthèse'!G10</f>
        <v>0.5448223025039906</v>
      </c>
    </row>
    <row r="26" spans="3:5" ht="15.75">
      <c r="C26" s="52" t="s">
        <v>80</v>
      </c>
      <c r="E26" s="58"/>
    </row>
    <row r="27" ht="15.75">
      <c r="E27" s="58"/>
    </row>
    <row r="28" spans="2:5" ht="15.75">
      <c r="B28" s="43" t="s">
        <v>81</v>
      </c>
      <c r="C28" s="59" t="s">
        <v>80</v>
      </c>
      <c r="D28" s="68">
        <f>+'3-bilan de synthèse'!F10/(+'3-bilan de synthèse'!F11+'3-bilan de synthèse'!F12+'3-bilan de synthèse'!F13+'3-bilan de synthèse'!F14)</f>
        <v>1.8878854527376725</v>
      </c>
      <c r="E28" s="68">
        <f>+'3-bilan de synthèse'!G10/(+'3-bilan de synthèse'!G11+'3-bilan de synthèse'!G12+'3-bilan de synthèse'!G13+'3-bilan de synthèse'!G14)</f>
        <v>1.8354608381558968</v>
      </c>
    </row>
    <row r="29" spans="2:5" ht="15.75">
      <c r="B29" s="43"/>
      <c r="C29" s="41" t="s">
        <v>79</v>
      </c>
      <c r="D29" s="41"/>
      <c r="E29" s="58"/>
    </row>
    <row r="30" spans="2:5" ht="15.75">
      <c r="B30" s="102"/>
      <c r="E30" s="58"/>
    </row>
    <row r="31" spans="2:5" ht="15.75">
      <c r="B31" s="43" t="s">
        <v>82</v>
      </c>
      <c r="C31" s="59" t="s">
        <v>80</v>
      </c>
      <c r="D31" s="68">
        <f>+'3-bilan de synthèse'!F10/('3-bilan de synthèse'!F10+'3-bilan de synthèse'!F11)</f>
        <v>0.947039193090716</v>
      </c>
      <c r="E31" s="68">
        <f>+'3-bilan de synthèse'!G10/('3-bilan de synthèse'!G10+'3-bilan de synthèse'!G11)</f>
        <v>0.9743643213517919</v>
      </c>
    </row>
    <row r="32" spans="3:5" ht="15.75">
      <c r="C32" s="52" t="s">
        <v>83</v>
      </c>
      <c r="E32" s="58"/>
    </row>
    <row r="33" ht="15.75">
      <c r="E33" s="58"/>
    </row>
    <row r="34" spans="2:5" ht="15.75">
      <c r="B34" s="54" t="s">
        <v>84</v>
      </c>
      <c r="E34" s="58"/>
    </row>
    <row r="35" ht="15.75">
      <c r="E35" s="58"/>
    </row>
    <row r="36" ht="15.75">
      <c r="E36" s="58"/>
    </row>
    <row r="37" spans="2:5" ht="15.75">
      <c r="B37" s="43" t="s">
        <v>85</v>
      </c>
      <c r="C37" s="59" t="s">
        <v>83</v>
      </c>
      <c r="D37" s="68">
        <f>+('3-bilan de synthèse'!F10+'3-bilan de synthèse'!F11)/'3-bilan de synthèse'!C10</f>
        <v>1.814033021739436</v>
      </c>
      <c r="E37" s="68">
        <f>+('3-bilan de synthèse'!G10+'3-bilan de synthèse'!G11)/'3-bilan de synthèse'!D10</f>
        <v>2.2254324638650536</v>
      </c>
    </row>
    <row r="38" spans="2:5" ht="15.75">
      <c r="B38" s="43"/>
      <c r="C38" s="61" t="s">
        <v>71</v>
      </c>
      <c r="D38" s="61"/>
      <c r="E38" s="58"/>
    </row>
    <row r="39" spans="2:5" ht="15.75">
      <c r="B39" s="43"/>
      <c r="E39" s="58"/>
    </row>
    <row r="40" ht="15.75">
      <c r="E40" s="58"/>
    </row>
    <row r="41" spans="2:5" ht="15.75">
      <c r="B41" s="43" t="s">
        <v>86</v>
      </c>
      <c r="C41" s="59" t="s">
        <v>87</v>
      </c>
      <c r="D41" s="68">
        <f>+('3-bilan de synthèse'!C11+'3-bilan de synthèse'!C12+'3-bilan de synthèse'!C13+'3-bilan de synthèse'!C14)/('3-bilan de synthèse'!F12+'3-bilan de synthèse'!F13+'3-bilan de synthèse'!F14)</f>
        <v>2.000139926027346</v>
      </c>
      <c r="E41" s="68">
        <f>+('3-bilan de synthèse'!D11+'3-bilan de synthèse'!D12+'3-bilan de synthèse'!D13+'3-bilan de synthèse'!D14)/('3-bilan de synthèse'!G12+'3-bilan de synthèse'!G13+'3-bilan de synthèse'!G14)</f>
        <v>2.0899200856661873</v>
      </c>
    </row>
    <row r="42" spans="2:5" ht="15.75">
      <c r="B42" s="43"/>
      <c r="C42" s="52" t="s">
        <v>61</v>
      </c>
      <c r="E42" s="58"/>
    </row>
    <row r="43" spans="2:5" ht="15.75">
      <c r="B43" s="43"/>
      <c r="E43" s="58"/>
    </row>
    <row r="44" ht="15.75">
      <c r="E44" s="58"/>
    </row>
    <row r="45" spans="2:5" ht="15.75">
      <c r="B45" s="43" t="s">
        <v>88</v>
      </c>
      <c r="C45" s="59" t="s">
        <v>89</v>
      </c>
      <c r="D45" s="68">
        <f>+('3-bilan de synthèse'!C12+'3-bilan de synthèse'!C13+'3-bilan de synthèse'!C14)/('3-bilan de synthèse'!F12+'3-bilan de synthèse'!F13+'3-bilan de synthèse'!F14)</f>
        <v>1.3306533471783581</v>
      </c>
      <c r="E45" s="68">
        <f>+('3-bilan de synthèse'!D12+'3-bilan de synthèse'!D13+'3-bilan de synthèse'!D14)/('3-bilan de synthèse'!G12+'3-bilan de synthèse'!G13+'3-bilan de synthèse'!G14)</f>
        <v>1.4943318675743522</v>
      </c>
    </row>
    <row r="46" spans="2:5" ht="15.75">
      <c r="B46" s="43"/>
      <c r="C46" s="52" t="s">
        <v>61</v>
      </c>
      <c r="E46" s="58"/>
    </row>
    <row r="47" spans="2:5" ht="15.75">
      <c r="B47" s="43"/>
      <c r="E47" s="58"/>
    </row>
    <row r="48" spans="2:5" ht="15.75">
      <c r="B48" s="43"/>
      <c r="E48" s="58"/>
    </row>
    <row r="49" spans="2:5" ht="15.75">
      <c r="B49" s="43" t="s">
        <v>90</v>
      </c>
      <c r="C49" s="59" t="s">
        <v>91</v>
      </c>
      <c r="D49" s="68">
        <f>+'3-bilan de synthèse'!C14/('3-bilan de synthèse'!F12+'3-bilan de synthèse'!F13+'3-bilan de synthèse'!F14)</f>
        <v>0.2968651323218268</v>
      </c>
      <c r="E49" s="88">
        <f>+'3-bilan de synthèse'!D14/('3-bilan de synthèse'!G12+'3-bilan de synthèse'!G13+'3-bilan de synthèse'!G14)</f>
        <v>0.47867653227070545</v>
      </c>
    </row>
    <row r="50" spans="2:5" ht="15.75">
      <c r="B50" s="43"/>
      <c r="C50" s="52" t="s">
        <v>61</v>
      </c>
      <c r="E50" s="58"/>
    </row>
    <row r="54" spans="4:5" ht="15.75">
      <c r="D54" s="83">
        <f>+D9</f>
        <v>40178</v>
      </c>
      <c r="E54" s="83">
        <f>+E9</f>
        <v>39813</v>
      </c>
    </row>
    <row r="56" spans="2:5" ht="15.75">
      <c r="B56" s="43" t="s">
        <v>158</v>
      </c>
      <c r="C56" s="53" t="s">
        <v>163</v>
      </c>
      <c r="D56" s="62">
        <f>+'3-bilan de synthèse'!F10+'3-bilan de synthèse'!F11-'3-bilan de synthèse'!C10</f>
        <v>3247283.9069999997</v>
      </c>
      <c r="E56" s="62">
        <f>+'3-bilan de synthèse'!G10+'3-bilan de synthèse'!G11-'3-bilan de synthèse'!D10</f>
        <v>3261127</v>
      </c>
    </row>
    <row r="58" spans="2:5" ht="15.75">
      <c r="B58" s="43" t="s">
        <v>159</v>
      </c>
      <c r="C58" s="53" t="s">
        <v>164</v>
      </c>
      <c r="D58" s="62">
        <f>-(+'3-bilan de synthèse'!C11+'3-bilan de synthèse'!C12+'3-bilan de synthèse'!C13-'3-bilan de synthèse'!F12-'3-bilan de synthèse'!F13)</f>
        <v>-2802556.2090000007</v>
      </c>
      <c r="E58" s="62">
        <f>-(+'3-bilan de synthèse'!D11+'3-bilan de synthèse'!D12+'3-bilan de synthèse'!D13-'3-bilan de synthèse'!G12-'3-bilan de synthèse'!G13)</f>
        <v>-1941372</v>
      </c>
    </row>
    <row r="60" spans="2:5" ht="15.75">
      <c r="B60" s="43" t="s">
        <v>160</v>
      </c>
      <c r="C60" s="53" t="s">
        <v>161</v>
      </c>
      <c r="D60" s="97">
        <f>+D56+D58</f>
        <v>444727.6979999989</v>
      </c>
      <c r="E60" s="97">
        <f>+E56+E58</f>
        <v>1319755</v>
      </c>
    </row>
    <row r="62" ht="15.75">
      <c r="E62" s="97"/>
    </row>
    <row r="65" ht="15.75">
      <c r="E65" s="51"/>
    </row>
    <row r="67" spans="2:5" ht="15.75">
      <c r="B67" s="51"/>
      <c r="C67" s="63"/>
      <c r="D67" s="63"/>
      <c r="E67" s="64"/>
    </row>
  </sheetData>
  <sheetProtection/>
  <mergeCells count="1">
    <mergeCell ref="B6:E6"/>
  </mergeCells>
  <printOptions/>
  <pageMargins left="0.787401575" right="0.787401575" top="0.984251969" bottom="0.984251969" header="0.4921259845" footer="0.4921259845"/>
  <pageSetup horizontalDpi="600" verticalDpi="600" orientation="portrait"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ÇáÔÜÜÜÜÜÜÜÜÜÜÜÜÜÜÇåÜÜÏ ãÌÜÜÜÏí</dc:creator>
  <cp:keywords/>
  <dc:description/>
  <cp:lastModifiedBy>DELL</cp:lastModifiedBy>
  <cp:lastPrinted>2009-02-02T17:11:49Z</cp:lastPrinted>
  <dcterms:created xsi:type="dcterms:W3CDTF">2001-03-24T10:37:52Z</dcterms:created>
  <dcterms:modified xsi:type="dcterms:W3CDTF">2010-05-26T11:25:57Z</dcterms:modified>
  <cp:category/>
  <cp:version/>
  <cp:contentType/>
  <cp:contentStatus/>
</cp:coreProperties>
</file>